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economist-2\Desktop\"/>
    </mc:Choice>
  </mc:AlternateContent>
  <xr:revisionPtr revIDLastSave="0" documentId="13_ncr:1_{5BEE7823-AC4F-42B2-8F3C-F5C91C8C8553}" xr6:coauthVersionLast="47" xr6:coauthVersionMax="47" xr10:uidLastSave="{00000000-0000-0000-0000-000000000000}"/>
  <bookViews>
    <workbookView xWindow="-108" yWindow="-108" windowWidth="23256" windowHeight="12576" xr2:uid="{3600E66E-7911-4E99-99DD-B081276B90B3}"/>
  </bookViews>
  <sheets>
    <sheet name="форма 7" sheetId="1" r:id="rId1"/>
  </sheets>
  <externalReferences>
    <externalReference r:id="rId2"/>
  </externalReferences>
  <definedNames>
    <definedName name="anscount">1</definedName>
    <definedName name="B_FHD_CHECK_INDEX_1">'форма 7'!$L$66</definedName>
    <definedName name="B_FHD_CHECK_INDEX_2">'форма 7'!$L$68</definedName>
    <definedName name="B_FHD_COSTS_INDEX_1">'форма 7'!$H$65:$J$65</definedName>
    <definedName name="B_FHD_COSTS_INDEX_2">'форма 7'!$H$67:$J$67</definedName>
    <definedName name="B_FHD_DATA_TOP80_ACTIVITY">'форма 7'!$H$81:$J$81</definedName>
    <definedName name="B_FHD_diff_1">'форма 7'!$I$25:$I$27</definedName>
    <definedName name="B_FHD_FLAG_DIFFERENTIATION">'форма 7'!$H$24:$J$24</definedName>
    <definedName name="B_FHD_FLAG_INDEX_1">'форма 7'!$H$66:$J$66</definedName>
    <definedName name="B_FHD_FLAG_INDEX_2">'форма 7'!$H$68:$J$68</definedName>
    <definedName name="BLOCK_POK_FHD_COLDVSNA_P1">'форма 7'!$82:$90</definedName>
    <definedName name="BLOCK_POK_FHD_COLDVSNA_P2">'форма 7'!$115:$119</definedName>
    <definedName name="BLOCK_POK_FHD_HEAT_ONLY_REG_ORG_P1">'форма 7'!$56:$57</definedName>
    <definedName name="BLOCK_POK_FHD_HEAT_ONLY_REG_ORG_P2">'форма 7'!$80:$131</definedName>
    <definedName name="BLOCK_POK_FHD_HEAT_P1">'форма 7'!$33:$40</definedName>
    <definedName name="BLOCK_POK_FHD_HEAT_P2">'форма 7'!$72:$72</definedName>
    <definedName name="BLOCK_POK_FHD_HEAT_P3">'форма 7'!$99:$111</definedName>
    <definedName name="BLOCK_POK_FHD_HEAT_P4">'форма 7'!$113:$113</definedName>
    <definedName name="BLOCK_POK_FHD_HEAT_P5">'форма 7'!$120:$130</definedName>
    <definedName name="BLOCK_POK_FHD_HEAT_P6">'форма 7'!$47:$47</definedName>
    <definedName name="BLOCK_POK_FHD_HOTVSNA_P1">'форма 7'!$41:$43</definedName>
    <definedName name="BLOCK_POK_FHD_HOTVSNA_P2">'форма 7'!$91:$95</definedName>
    <definedName name="BLOCK_POK_FHD_NOT_HEAT_P1">'форма 7'!$67:$68</definedName>
    <definedName name="BLOCK_POK_FHD_NOT_HEAT_P2">'форма 7'!$80:$80</definedName>
    <definedName name="BLOCK_POK_FHD_NOT_HOTVSNA">'форма 7'!$48:$48</definedName>
    <definedName name="BLOCK_POK_FHD_VOTV_P1">'форма 7'!$96:$98</definedName>
    <definedName name="BLOCK_POK_FHD_VSNA">'форма 7'!$114:$114</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hor_B_FHD_1">'форма 7'!$2:$7</definedName>
    <definedName name="et_hor_B_FHD_2">'форма 7'!$9:$9</definedName>
    <definedName name="et_hor_B_FHD_3">'форма 7'!$11:$11</definedName>
    <definedName name="et_hor_B_FHD_4">'форма 7'!$13:$13</definedName>
    <definedName name="et_hor_B_FHD_5">'форма 7'!$15:$15</definedName>
    <definedName name="et_hor_B_FHD_6">'форма 7'!$17:$17</definedName>
    <definedName name="et_ver_B_FHD_DIFFERENTIATION">'форма 7'!$H:$H</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Header_B_FHD">'форма 7'!$29:$29</definedName>
    <definedName name="pHeader_ver_B_FHD">'форма 7'!$C:$C</definedName>
    <definedName name="pIns_B_FHD_1">'форма 7'!$F$40</definedName>
    <definedName name="pIns_B_FHD_2">'форма 7'!$F$71</definedName>
    <definedName name="pIns_B_FHD_3">'форма 7'!$F$101</definedName>
    <definedName name="pIns_B_FHD_4">'форма 7'!$F$119</definedName>
    <definedName name="pIns_B_FHD_5">'форма 7'!$F$122</definedName>
    <definedName name="pIns_B_FHD_6">'форма 7'!$F$125</definedName>
    <definedName name="pIns_B_FHD_DIFFERENTIATION">'форма 7'!$J$24</definedName>
    <definedName name="PROCEDURE_TC_NAME_FORM">[1]DATA_FORMS!$C$30</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B_FHD">'форма 7'!$J$131</definedName>
    <definedName name="tblStart_1_B_FHD">'форма 7'!$I$30</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30" i="1" l="1"/>
  <c r="F130" i="1"/>
  <c r="E130" i="1"/>
  <c r="J129" i="1"/>
  <c r="F129" i="1"/>
  <c r="E129" i="1"/>
  <c r="J128" i="1"/>
  <c r="F128" i="1"/>
  <c r="E128" i="1"/>
  <c r="J127" i="1"/>
  <c r="F127" i="1"/>
  <c r="E127" i="1"/>
  <c r="J126" i="1"/>
  <c r="F126" i="1"/>
  <c r="E126" i="1"/>
  <c r="E124" i="1"/>
  <c r="J123" i="1"/>
  <c r="F123" i="1"/>
  <c r="E123" i="1"/>
  <c r="E121" i="1"/>
  <c r="J120" i="1"/>
  <c r="F120" i="1"/>
  <c r="E120" i="1"/>
  <c r="E118" i="1"/>
  <c r="J117" i="1"/>
  <c r="F117" i="1"/>
  <c r="E117" i="1"/>
  <c r="J116" i="1"/>
  <c r="F116" i="1"/>
  <c r="E116" i="1"/>
  <c r="J115" i="1"/>
  <c r="F115" i="1"/>
  <c r="E115" i="1"/>
  <c r="J114" i="1"/>
  <c r="F114" i="1"/>
  <c r="E114" i="1"/>
  <c r="J113" i="1"/>
  <c r="F113" i="1"/>
  <c r="E113" i="1"/>
  <c r="J112" i="1"/>
  <c r="F112" i="1"/>
  <c r="E112" i="1"/>
  <c r="J111" i="1"/>
  <c r="F111" i="1"/>
  <c r="E111" i="1"/>
  <c r="J110" i="1"/>
  <c r="F110" i="1"/>
  <c r="E110" i="1"/>
  <c r="J109" i="1"/>
  <c r="F109" i="1"/>
  <c r="E109" i="1"/>
  <c r="J108" i="1"/>
  <c r="F108" i="1"/>
  <c r="E108" i="1"/>
  <c r="J107" i="1"/>
  <c r="F107" i="1"/>
  <c r="E107" i="1"/>
  <c r="J106" i="1"/>
  <c r="F106" i="1"/>
  <c r="E106" i="1"/>
  <c r="J105" i="1"/>
  <c r="F105" i="1"/>
  <c r="E105" i="1"/>
  <c r="J104" i="1"/>
  <c r="F104" i="1"/>
  <c r="E104" i="1"/>
  <c r="J103" i="1"/>
  <c r="F103" i="1"/>
  <c r="E103" i="1"/>
  <c r="J102" i="1"/>
  <c r="F102" i="1"/>
  <c r="E102" i="1"/>
  <c r="E100" i="1"/>
  <c r="J99" i="1"/>
  <c r="F99" i="1"/>
  <c r="E99" i="1"/>
  <c r="J98" i="1"/>
  <c r="F98" i="1"/>
  <c r="E98" i="1"/>
  <c r="J97" i="1"/>
  <c r="F97" i="1"/>
  <c r="E97" i="1"/>
  <c r="J96" i="1"/>
  <c r="F96" i="1"/>
  <c r="E96" i="1"/>
  <c r="J95" i="1"/>
  <c r="F95" i="1"/>
  <c r="E95" i="1"/>
  <c r="J94" i="1"/>
  <c r="F94" i="1"/>
  <c r="E94" i="1"/>
  <c r="J93" i="1"/>
  <c r="F93" i="1"/>
  <c r="E93" i="1"/>
  <c r="J92" i="1"/>
  <c r="F92" i="1"/>
  <c r="E92" i="1"/>
  <c r="J91" i="1"/>
  <c r="F91" i="1"/>
  <c r="E91" i="1"/>
  <c r="J90" i="1"/>
  <c r="F90" i="1"/>
  <c r="E90" i="1"/>
  <c r="J89" i="1"/>
  <c r="F89" i="1"/>
  <c r="E89" i="1"/>
  <c r="J88" i="1"/>
  <c r="F88" i="1"/>
  <c r="E88" i="1"/>
  <c r="J87" i="1"/>
  <c r="I87" i="1"/>
  <c r="H87" i="1"/>
  <c r="F87" i="1"/>
  <c r="E87" i="1"/>
  <c r="J86" i="1"/>
  <c r="F86" i="1"/>
  <c r="E86" i="1"/>
  <c r="J85" i="1"/>
  <c r="F85" i="1"/>
  <c r="E85" i="1"/>
  <c r="J84" i="1"/>
  <c r="F84" i="1"/>
  <c r="E84" i="1"/>
  <c r="J83" i="1"/>
  <c r="F83" i="1"/>
  <c r="E83" i="1"/>
  <c r="J82" i="1"/>
  <c r="F82" i="1"/>
  <c r="E82" i="1"/>
  <c r="J81" i="1"/>
  <c r="F81" i="1"/>
  <c r="E81" i="1"/>
  <c r="J80" i="1"/>
  <c r="F80" i="1"/>
  <c r="E80" i="1"/>
  <c r="J79" i="1"/>
  <c r="F79" i="1"/>
  <c r="E79" i="1"/>
  <c r="J78" i="1"/>
  <c r="F78" i="1"/>
  <c r="E78" i="1"/>
  <c r="J77" i="1"/>
  <c r="F77" i="1"/>
  <c r="E77" i="1"/>
  <c r="J76" i="1"/>
  <c r="F76" i="1"/>
  <c r="E76" i="1"/>
  <c r="J75" i="1"/>
  <c r="F75" i="1"/>
  <c r="E75" i="1"/>
  <c r="J74" i="1"/>
  <c r="F74" i="1"/>
  <c r="E74" i="1"/>
  <c r="J73" i="1"/>
  <c r="F73" i="1"/>
  <c r="E73" i="1"/>
  <c r="J72" i="1"/>
  <c r="F72" i="1"/>
  <c r="E72" i="1"/>
  <c r="J69" i="1"/>
  <c r="I69" i="1"/>
  <c r="H69" i="1"/>
  <c r="F69" i="1"/>
  <c r="E69" i="1"/>
  <c r="E70" i="1" s="1"/>
  <c r="K70" i="1" s="1"/>
  <c r="L68" i="1"/>
  <c r="K68" i="1"/>
  <c r="J68" i="1"/>
  <c r="F68" i="1"/>
  <c r="E68" i="1"/>
  <c r="J67" i="1"/>
  <c r="F67" i="1"/>
  <c r="E67" i="1"/>
  <c r="K67" i="1" s="1"/>
  <c r="L66" i="1"/>
  <c r="J66" i="1"/>
  <c r="F66" i="1"/>
  <c r="E66" i="1"/>
  <c r="K66" i="1" s="1"/>
  <c r="K65" i="1"/>
  <c r="J65" i="1"/>
  <c r="F65" i="1"/>
  <c r="E65" i="1"/>
  <c r="J64" i="1"/>
  <c r="F64" i="1"/>
  <c r="E64" i="1"/>
  <c r="K64" i="1" s="1"/>
  <c r="J63" i="1"/>
  <c r="F63" i="1"/>
  <c r="E63" i="1"/>
  <c r="K63" i="1" s="1"/>
  <c r="K62" i="1"/>
  <c r="J62" i="1"/>
  <c r="F62" i="1"/>
  <c r="E62" i="1"/>
  <c r="J61" i="1"/>
  <c r="F61" i="1"/>
  <c r="E61" i="1"/>
  <c r="K61" i="1" s="1"/>
  <c r="J60" i="1"/>
  <c r="F60" i="1"/>
  <c r="E60" i="1"/>
  <c r="K60" i="1" s="1"/>
  <c r="K59" i="1"/>
  <c r="J59" i="1"/>
  <c r="F59" i="1"/>
  <c r="E59" i="1"/>
  <c r="J58" i="1"/>
  <c r="F58" i="1"/>
  <c r="E58" i="1"/>
  <c r="K58" i="1" s="1"/>
  <c r="J57" i="1"/>
  <c r="F57" i="1"/>
  <c r="E57" i="1"/>
  <c r="K57" i="1" s="1"/>
  <c r="K56" i="1"/>
  <c r="J56" i="1"/>
  <c r="F56" i="1"/>
  <c r="E56" i="1"/>
  <c r="J55" i="1"/>
  <c r="F55" i="1"/>
  <c r="E55" i="1"/>
  <c r="K55" i="1" s="1"/>
  <c r="J54" i="1"/>
  <c r="I54" i="1"/>
  <c r="I52" i="1" s="1"/>
  <c r="F54" i="1"/>
  <c r="E54" i="1"/>
  <c r="K54" i="1" s="1"/>
  <c r="K53" i="1"/>
  <c r="J53" i="1"/>
  <c r="F53" i="1"/>
  <c r="E53" i="1"/>
  <c r="K52" i="1"/>
  <c r="J52" i="1"/>
  <c r="F52" i="1"/>
  <c r="E52" i="1"/>
  <c r="K51" i="1"/>
  <c r="J51" i="1"/>
  <c r="I51" i="1"/>
  <c r="I49" i="1" s="1"/>
  <c r="F51" i="1"/>
  <c r="E51" i="1"/>
  <c r="J50" i="1"/>
  <c r="F50" i="1"/>
  <c r="E50" i="1"/>
  <c r="K50" i="1" s="1"/>
  <c r="J49" i="1"/>
  <c r="F49" i="1"/>
  <c r="E49" i="1"/>
  <c r="K49" i="1" s="1"/>
  <c r="K48" i="1"/>
  <c r="J48" i="1"/>
  <c r="F48" i="1"/>
  <c r="E48" i="1"/>
  <c r="J47" i="1"/>
  <c r="F47" i="1"/>
  <c r="E47" i="1"/>
  <c r="K47" i="1" s="1"/>
  <c r="J46" i="1"/>
  <c r="I46" i="1"/>
  <c r="F46" i="1"/>
  <c r="E46" i="1"/>
  <c r="K46" i="1" s="1"/>
  <c r="K45" i="1"/>
  <c r="J45" i="1"/>
  <c r="F45" i="1"/>
  <c r="E45" i="1"/>
  <c r="K44" i="1"/>
  <c r="J44" i="1"/>
  <c r="F44" i="1"/>
  <c r="E44" i="1"/>
  <c r="J43" i="1"/>
  <c r="F43" i="1"/>
  <c r="E43" i="1"/>
  <c r="K43" i="1" s="1"/>
  <c r="K42" i="1"/>
  <c r="J42" i="1"/>
  <c r="F42" i="1"/>
  <c r="E42" i="1"/>
  <c r="K41" i="1"/>
  <c r="J41" i="1"/>
  <c r="F41" i="1"/>
  <c r="E41" i="1"/>
  <c r="K40" i="1"/>
  <c r="K39" i="1"/>
  <c r="K38" i="1"/>
  <c r="K37" i="1"/>
  <c r="K36" i="1"/>
  <c r="K35" i="1"/>
  <c r="K34" i="1"/>
  <c r="K33" i="1"/>
  <c r="J33" i="1"/>
  <c r="I33" i="1"/>
  <c r="H33" i="1"/>
  <c r="F33" i="1"/>
  <c r="E33" i="1"/>
  <c r="B34" i="1" s="1"/>
  <c r="K32" i="1"/>
  <c r="J32" i="1"/>
  <c r="F32" i="1"/>
  <c r="E32" i="1"/>
  <c r="J31" i="1"/>
  <c r="F31" i="1"/>
  <c r="E31" i="1"/>
  <c r="J30" i="1"/>
  <c r="F30" i="1"/>
  <c r="E30" i="1"/>
  <c r="I27" i="1"/>
  <c r="H27" i="1"/>
  <c r="I26" i="1"/>
  <c r="H26" i="1"/>
  <c r="I25" i="1"/>
  <c r="H25" i="1"/>
  <c r="E22" i="1"/>
  <c r="E21" i="1"/>
  <c r="E7" i="1"/>
  <c r="E6" i="1"/>
  <c r="E5" i="1"/>
  <c r="E4" i="1"/>
  <c r="I3" i="1"/>
  <c r="H3" i="1"/>
  <c r="E2" i="1"/>
  <c r="I31" i="1" l="1"/>
  <c r="H31" i="1"/>
  <c r="H136" i="1" s="1"/>
  <c r="K69" i="1"/>
  <c r="I72" i="1" l="1"/>
  <c r="I136" i="1" s="1"/>
</calcChain>
</file>

<file path=xl/sharedStrings.xml><?xml version="1.0" encoding="utf-8"?>
<sst xmlns="http://schemas.openxmlformats.org/spreadsheetml/2006/main" count="156" uniqueCount="68">
  <si>
    <t>Flag_Row_Size</t>
  </si>
  <si>
    <t>vt</t>
  </si>
  <si>
    <t>х</t>
  </si>
  <si>
    <t>В колонке «Наименование параметра» указывается вид приобретаемого топлива._x000D_
Если приобретается несколько видов топлива, то информация по каждому из них указывается отдельно.</t>
  </si>
  <si>
    <t>общая стоимость</t>
  </si>
  <si>
    <t>объём</t>
  </si>
  <si>
    <t>В колонке «Единица измерения» указываются единицы измерения объема приобретаемого топлива._x000D_
В колонке «Информация» указывается величина объема приобретаемого топлива.</t>
  </si>
  <si>
    <t>стоимость за единицу объёма</t>
  </si>
  <si>
    <t>тыс. руб.</t>
  </si>
  <si>
    <t>стоимость доставки</t>
  </si>
  <si>
    <t>способ приобретения</t>
  </si>
  <si>
    <t>Указываются прочие расходы, которые подлежат отнесению на регулируемые виды деятельности в соответствии с законодательством.</t>
  </si>
  <si>
    <t>Гкал/ч</t>
  </si>
  <si>
    <t>Указывается установленная тепловая мощность для источника тепловой энергии.</t>
  </si>
  <si>
    <t>%</t>
  </si>
  <si>
    <t>Указывается показатель использования по производственному объекту как процент объем перекачки по отношению к пиковому дню отчетного года.</t>
  </si>
  <si>
    <t>кг у. т./Гкал</t>
  </si>
  <si>
    <t>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t>
  </si>
  <si>
    <t>кг усл. топл./Гкал</t>
  </si>
  <si>
    <t>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t>
  </si>
  <si>
    <t>diff_1</t>
  </si>
  <si>
    <t>Вид деятельности</t>
  </si>
  <si>
    <t>Территория оказания услуг</t>
  </si>
  <si>
    <t>Централизованная система</t>
  </si>
  <si>
    <t>Параметры формы</t>
  </si>
  <si>
    <t>№ п/п</t>
  </si>
  <si>
    <t>Наименование параметра</t>
  </si>
  <si>
    <t>Единица измерения</t>
  </si>
  <si>
    <t>Информация</t>
  </si>
  <si>
    <t>p</t>
  </si>
  <si>
    <t>HEAT_P1</t>
  </si>
  <si>
    <t>Добавить вид топлива</t>
  </si>
  <si>
    <t>HOTVSNA_P1</t>
  </si>
  <si>
    <t>руб.</t>
  </si>
  <si>
    <t>тыс. кВт·ч</t>
  </si>
  <si>
    <t>HEAT_P6</t>
  </si>
  <si>
    <t>NOT_HOTVSNA</t>
  </si>
  <si>
    <t>x</t>
  </si>
  <si>
    <t>отсутствует</t>
  </si>
  <si>
    <t>NOT_HEAT_P1</t>
  </si>
  <si>
    <t>Добавить прочие расходы</t>
  </si>
  <si>
    <t>HEAT_P2</t>
  </si>
  <si>
    <t>NOT_HEAT_P2</t>
  </si>
  <si>
    <t/>
  </si>
  <si>
    <t>hyp</t>
  </si>
  <si>
    <t>COLDVSNA_P1</t>
  </si>
  <si>
    <t>тыс. куб. м</t>
  </si>
  <si>
    <t>HOTVSNA_P2</t>
  </si>
  <si>
    <t>тыс. Гкал</t>
  </si>
  <si>
    <t>VOTV_P1</t>
  </si>
  <si>
    <t>HEAT_P3</t>
  </si>
  <si>
    <t>Добавить источник тепловой энергии</t>
  </si>
  <si>
    <t>В случае наличия нескольких источников тепловой энергии установленная тепловая мощность по каждому из них указывается в отдельных строках.</t>
  </si>
  <si>
    <t>тыс. Гкал/год</t>
  </si>
  <si>
    <t>человек</t>
  </si>
  <si>
    <t>HEAT_P4</t>
  </si>
  <si>
    <t>VSNA</t>
  </si>
  <si>
    <t>тыс. кВт·ч на тыс. куб. м</t>
  </si>
  <si>
    <t>COLDVSNA_P2</t>
  </si>
  <si>
    <t>Добавить производственный объект</t>
  </si>
  <si>
    <t>В случае наличия нескольких производственных объектов информация по каждому из них указывается в отдельной строке.</t>
  </si>
  <si>
    <t>HEAT_P5</t>
  </si>
  <si>
    <t>В случае наличия нескольких источников тепловой энергии норматив удельного расхода условного топлива по каждому из них указывается в отдельных строках.</t>
  </si>
  <si>
    <t>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t>
  </si>
  <si>
    <t>тыс. кВт.ч/Гкал</t>
  </si>
  <si>
    <t>куб.м/Гкал</t>
  </si>
  <si>
    <t>https://portal.eias.ru/Portal/DownloadPage.aspx?type=12&amp;guid=ee558bd8-551c-4dd3-a86a-e31e749ec625</t>
  </si>
  <si>
    <t>Flag_Col_Size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</si>
</sst>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8">
    <font>
      <sz val="9"/>
      <color rgb="FF000000"/>
      <name val="Tahoma"/>
    </font>
    <font>
      <sz val="7"/>
      <name val="Tahoma"/>
    </font>
    <font>
      <sz val="9"/>
      <color theme="0"/>
      <name val="Tahoma"/>
    </font>
    <font>
      <sz val="1"/>
      <color theme="0"/>
      <name val="Tahoma"/>
    </font>
    <font>
      <sz val="9"/>
      <name val="Tahoma"/>
    </font>
    <font>
      <sz val="9"/>
      <color rgb="FFFF0000"/>
      <name val="Tahoma"/>
    </font>
    <font>
      <sz val="9"/>
      <color rgb="FFFFFFFF"/>
      <name val="Tahoma"/>
    </font>
    <font>
      <sz val="15"/>
      <color theme="0"/>
      <name val="Tahoma"/>
    </font>
    <font>
      <sz val="10"/>
      <name val="Tahoma"/>
    </font>
    <font>
      <b/>
      <sz val="1"/>
      <color theme="0"/>
      <name val="Tahoma"/>
    </font>
    <font>
      <sz val="1"/>
      <name val="Tahoma"/>
    </font>
    <font>
      <sz val="1"/>
      <color rgb="FFFF0000"/>
      <name val="Tahoma"/>
    </font>
    <font>
      <sz val="1"/>
      <color rgb="FFFFFFFF"/>
      <name val="Tahoma"/>
    </font>
    <font>
      <sz val="11"/>
      <color rgb="FFBCBCBC"/>
      <name val="Wingdings 2"/>
    </font>
    <font>
      <sz val="9"/>
      <color rgb="FF000080"/>
      <name val="Tahoma"/>
    </font>
    <font>
      <b/>
      <sz val="9"/>
      <name val="Tahoma"/>
    </font>
    <font>
      <u/>
      <sz val="9"/>
      <color rgb="FF333399"/>
      <name val="Tahoma"/>
    </font>
    <font>
      <u/>
      <sz val="9"/>
      <color theme="10"/>
      <name val="Tahoma"/>
    </font>
  </fonts>
  <fills count="9">
    <fill>
      <patternFill patternType="none"/>
    </fill>
    <fill>
      <patternFill patternType="gray125"/>
    </fill>
    <fill>
      <patternFill patternType="solid">
        <fgColor rgb="FFE3FAFD"/>
      </patternFill>
    </fill>
    <fill>
      <patternFill patternType="solid">
        <fgColor rgb="FFFFFFC0"/>
      </patternFill>
    </fill>
    <fill>
      <patternFill patternType="solid">
        <fgColor rgb="FFFFFFFF"/>
      </patternFill>
    </fill>
    <fill>
      <patternFill patternType="solid">
        <fgColor rgb="FFD7EAD3"/>
      </patternFill>
    </fill>
    <fill>
      <patternFill patternType="solid">
        <fgColor theme="0" tint="-0.14999847407452621"/>
        <bgColor indexed="65"/>
      </patternFill>
    </fill>
    <fill>
      <patternFill patternType="lightDown">
        <fgColor rgb="FFC0C0C0"/>
      </patternFill>
    </fill>
    <fill>
      <patternFill patternType="solid">
        <fgColor rgb="FFB7E4FF"/>
      </patternFill>
    </fill>
  </fills>
  <borders count="14">
    <border>
      <left/>
      <right/>
      <top/>
      <bottom/>
      <diagonal/>
    </border>
    <border>
      <left style="thin">
        <color theme="0" tint="-0.249977111117893"/>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right style="thin">
        <color rgb="FFC0C0C0"/>
      </right>
      <top style="thin">
        <color rgb="FFC0C0C0"/>
      </top>
      <bottom/>
      <diagonal/>
    </border>
    <border>
      <left/>
      <right/>
      <top style="thin">
        <color rgb="FFC0C0C0"/>
      </top>
      <bottom/>
      <diagonal/>
    </border>
    <border>
      <left/>
      <right/>
      <top/>
      <bottom style="thin">
        <color rgb="FFC0C0C0"/>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C0C0C0"/>
      </left>
      <right style="thin">
        <color rgb="FFC0C0C0"/>
      </right>
      <top/>
      <bottom/>
      <diagonal/>
    </border>
    <border>
      <left style="thin">
        <color rgb="FFC0C0C0"/>
      </left>
      <right/>
      <top style="thin">
        <color rgb="FFC0C0C0"/>
      </top>
      <bottom/>
      <diagonal/>
    </border>
  </borders>
  <cellStyleXfs count="1">
    <xf numFmtId="49" fontId="0" fillId="0" borderId="0" applyFill="0" applyBorder="0">
      <alignment vertical="top"/>
    </xf>
  </cellStyleXfs>
  <cellXfs count="115">
    <xf numFmtId="49" fontId="0" fillId="0" borderId="0" xfId="0">
      <alignment vertical="top"/>
    </xf>
    <xf numFmtId="49" fontId="1" fillId="0" borderId="0" xfId="0" applyFont="1" applyAlignment="1">
      <alignment horizontal="center" vertical="center" wrapText="1"/>
    </xf>
    <xf numFmtId="0" fontId="2" fillId="0" borderId="0" xfId="0" applyNumberFormat="1" applyFont="1" applyAlignment="1">
      <alignment vertical="center" wrapText="1"/>
    </xf>
    <xf numFmtId="0" fontId="3" fillId="0" borderId="0" xfId="0" applyNumberFormat="1" applyFont="1" applyAlignment="1">
      <alignment vertical="center" wrapText="1"/>
    </xf>
    <xf numFmtId="0" fontId="4" fillId="0" borderId="0" xfId="0" applyNumberFormat="1" applyFont="1" applyAlignment="1">
      <alignment vertical="center" wrapText="1"/>
    </xf>
    <xf numFmtId="0" fontId="5" fillId="0" borderId="0" xfId="0" applyNumberFormat="1" applyFont="1" applyAlignment="1">
      <alignment vertical="center" wrapText="1"/>
    </xf>
    <xf numFmtId="0" fontId="6" fillId="0" borderId="0" xfId="0" applyNumberFormat="1" applyFont="1" applyAlignment="1">
      <alignment vertical="center" wrapText="1"/>
    </xf>
    <xf numFmtId="0" fontId="4" fillId="0" borderId="0" xfId="0" applyNumberFormat="1" applyFont="1" applyAlignment="1">
      <alignment horizontal="center" vertical="center" wrapText="1"/>
    </xf>
    <xf numFmtId="49" fontId="3" fillId="0" borderId="0" xfId="0" applyFont="1" applyAlignment="1">
      <alignment horizontal="center" vertical="center" wrapText="1"/>
    </xf>
    <xf numFmtId="49" fontId="4" fillId="0" borderId="0" xfId="0" applyFont="1" applyAlignment="1">
      <alignment horizontal="center" vertical="center" wrapText="1"/>
    </xf>
    <xf numFmtId="0" fontId="4" fillId="0" borderId="1" xfId="0" applyNumberFormat="1" applyFont="1" applyBorder="1" applyAlignment="1">
      <alignment horizontal="center" vertical="center" wrapText="1"/>
    </xf>
    <xf numFmtId="0" fontId="4" fillId="2" borderId="2" xfId="0" applyNumberFormat="1" applyFont="1" applyFill="1" applyBorder="1" applyAlignment="1" applyProtection="1">
      <alignment horizontal="left" vertical="center" wrapText="1" indent="2"/>
      <protection locked="0"/>
    </xf>
    <xf numFmtId="0" fontId="4" fillId="0" borderId="2" xfId="0" applyNumberFormat="1" applyFont="1" applyBorder="1" applyAlignment="1">
      <alignment horizontal="center" vertical="center" wrapText="1"/>
    </xf>
    <xf numFmtId="0" fontId="4" fillId="0" borderId="2" xfId="0" applyNumberFormat="1" applyFont="1" applyBorder="1" applyAlignment="1">
      <alignment vertical="center" wrapText="1"/>
    </xf>
    <xf numFmtId="0" fontId="7" fillId="0" borderId="0" xfId="0" applyNumberFormat="1" applyFont="1" applyAlignment="1">
      <alignment vertical="center" wrapText="1"/>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left" vertical="center" wrapText="1" indent="2"/>
    </xf>
    <xf numFmtId="0" fontId="3" fillId="0" borderId="2" xfId="0" applyNumberFormat="1" applyFont="1" applyBorder="1" applyAlignment="1">
      <alignment horizontal="center" vertical="center" wrapText="1"/>
    </xf>
    <xf numFmtId="0" fontId="3" fillId="0" borderId="2" xfId="0" applyNumberFormat="1" applyFont="1" applyBorder="1" applyAlignment="1">
      <alignment vertical="center" wrapText="1"/>
    </xf>
    <xf numFmtId="0" fontId="4" fillId="0" borderId="2" xfId="0" applyNumberFormat="1" applyFont="1" applyBorder="1" applyAlignment="1">
      <alignment horizontal="left" vertical="center" wrapText="1" indent="3"/>
    </xf>
    <xf numFmtId="49" fontId="4" fillId="2" borderId="2" xfId="0" applyFont="1" applyFill="1" applyBorder="1" applyAlignment="1" applyProtection="1">
      <alignment horizontal="center" vertical="center" wrapText="1"/>
      <protection locked="0"/>
    </xf>
    <xf numFmtId="4" fontId="4" fillId="3" borderId="2" xfId="0" applyNumberFormat="1" applyFont="1" applyFill="1" applyBorder="1" applyAlignment="1" applyProtection="1">
      <alignment horizontal="right" vertical="center" wrapText="1"/>
      <protection locked="0"/>
    </xf>
    <xf numFmtId="0" fontId="4" fillId="3" borderId="2" xfId="0" applyNumberFormat="1" applyFont="1" applyFill="1" applyBorder="1" applyAlignment="1" applyProtection="1">
      <alignment horizontal="left" vertical="center" wrapText="1"/>
      <protection locked="0"/>
    </xf>
    <xf numFmtId="49" fontId="4" fillId="0" borderId="0" xfId="0" applyFont="1" applyAlignment="1">
      <alignment horizontal="center" vertical="top" wrapText="1"/>
    </xf>
    <xf numFmtId="49" fontId="4" fillId="2" borderId="2" xfId="0" applyFont="1" applyFill="1" applyBorder="1" applyAlignment="1" applyProtection="1">
      <alignment vertical="center" wrapText="1"/>
      <protection locked="0"/>
    </xf>
    <xf numFmtId="0" fontId="4" fillId="0" borderId="3" xfId="0" applyNumberFormat="1" applyFont="1" applyBorder="1" applyAlignment="1">
      <alignment vertical="top" wrapText="1"/>
    </xf>
    <xf numFmtId="0" fontId="4" fillId="0" borderId="3" xfId="0" applyNumberFormat="1" applyFont="1" applyBorder="1" applyAlignment="1">
      <alignment horizontal="center" vertical="center" wrapText="1"/>
    </xf>
    <xf numFmtId="164" fontId="4" fillId="3" borderId="2" xfId="0" applyNumberFormat="1" applyFont="1" applyFill="1" applyBorder="1" applyAlignment="1" applyProtection="1">
      <alignment horizontal="right" vertical="center" wrapText="1"/>
      <protection locked="0"/>
    </xf>
    <xf numFmtId="0" fontId="4" fillId="0" borderId="4" xfId="0" applyNumberFormat="1" applyFont="1" applyBorder="1" applyAlignment="1">
      <alignment vertical="center" wrapText="1"/>
    </xf>
    <xf numFmtId="0" fontId="4" fillId="0" borderId="5" xfId="0" applyNumberFormat="1" applyFont="1" applyBorder="1" applyAlignment="1">
      <alignment horizontal="left" vertical="top" wrapText="1" indent="1"/>
    </xf>
    <xf numFmtId="0" fontId="8" fillId="0" borderId="0" xfId="0" applyNumberFormat="1" applyFont="1" applyAlignment="1">
      <alignment vertical="center" wrapText="1"/>
    </xf>
    <xf numFmtId="0" fontId="4" fillId="0" borderId="6" xfId="0" applyNumberFormat="1" applyFont="1" applyBorder="1" applyAlignment="1">
      <alignment horizontal="left" vertical="center" wrapText="1" indent="1"/>
    </xf>
    <xf numFmtId="0" fontId="4" fillId="0" borderId="0" xfId="0" applyNumberFormat="1" applyFont="1" applyAlignment="1">
      <alignment horizontal="left" vertical="center" wrapText="1" indent="3"/>
    </xf>
    <xf numFmtId="0" fontId="9" fillId="4" borderId="0" xfId="0" applyNumberFormat="1" applyFont="1" applyFill="1" applyAlignment="1">
      <alignment horizontal="right" vertical="center"/>
    </xf>
    <xf numFmtId="0" fontId="4" fillId="0" borderId="7" xfId="0" applyNumberFormat="1" applyFont="1" applyBorder="1" applyAlignment="1">
      <alignment vertical="center" wrapText="1"/>
    </xf>
    <xf numFmtId="0" fontId="4" fillId="0" borderId="8" xfId="0" applyNumberFormat="1" applyFont="1" applyBorder="1" applyAlignment="1">
      <alignment horizontal="right" vertical="center" wrapText="1" indent="1"/>
    </xf>
    <xf numFmtId="0" fontId="4" fillId="0" borderId="3" xfId="0" applyNumberFormat="1" applyFont="1" applyBorder="1" applyAlignment="1">
      <alignment horizontal="right" vertical="center" wrapText="1" indent="1"/>
    </xf>
    <xf numFmtId="0" fontId="4" fillId="5" borderId="7" xfId="0" applyNumberFormat="1" applyFont="1" applyFill="1" applyBorder="1" applyAlignment="1">
      <alignment horizontal="left" vertical="top" wrapText="1"/>
    </xf>
    <xf numFmtId="0" fontId="4" fillId="0" borderId="2" xfId="0" applyNumberFormat="1" applyFont="1" applyBorder="1" applyAlignment="1">
      <alignment horizontal="center" vertical="center" wrapText="1"/>
    </xf>
    <xf numFmtId="0" fontId="4" fillId="0" borderId="7" xfId="0" applyNumberFormat="1" applyFont="1" applyBorder="1" applyAlignment="1">
      <alignment horizontal="right" vertical="center" wrapText="1"/>
    </xf>
    <xf numFmtId="0" fontId="4" fillId="0" borderId="8" xfId="0" applyNumberFormat="1" applyFont="1" applyBorder="1" applyAlignment="1">
      <alignment horizontal="right" vertical="center" wrapText="1"/>
    </xf>
    <xf numFmtId="0" fontId="4" fillId="0" borderId="8" xfId="0" applyNumberFormat="1" applyFont="1" applyBorder="1" applyAlignment="1">
      <alignment horizontal="right" vertical="center" wrapText="1" indent="1"/>
    </xf>
    <xf numFmtId="0" fontId="4" fillId="0" borderId="2" xfId="0" applyNumberFormat="1" applyFont="1" applyBorder="1" applyAlignment="1">
      <alignment horizontal="left" vertical="center" wrapText="1"/>
    </xf>
    <xf numFmtId="4" fontId="4" fillId="2" borderId="2" xfId="0" applyNumberFormat="1" applyFont="1" applyFill="1" applyBorder="1" applyAlignment="1" applyProtection="1">
      <alignment horizontal="right" vertical="center" wrapText="1"/>
      <protection locked="0"/>
    </xf>
    <xf numFmtId="4" fontId="4" fillId="5" borderId="2" xfId="0" applyNumberFormat="1" applyFont="1" applyFill="1" applyBorder="1" applyAlignment="1">
      <alignment horizontal="right" vertical="center" wrapText="1"/>
    </xf>
    <xf numFmtId="0" fontId="4" fillId="0" borderId="2" xfId="0" applyNumberFormat="1" applyFont="1" applyBorder="1" applyAlignment="1">
      <alignment horizontal="left" vertical="center" wrapText="1" indent="1"/>
    </xf>
    <xf numFmtId="49" fontId="1" fillId="6" borderId="0" xfId="0" applyFont="1" applyFill="1" applyAlignment="1">
      <alignment horizontal="center" vertical="center" textRotation="90" wrapText="1"/>
    </xf>
    <xf numFmtId="0" fontId="10" fillId="0" borderId="0" xfId="0" applyNumberFormat="1" applyFont="1" applyAlignment="1">
      <alignment horizontal="center" vertical="center" wrapText="1"/>
    </xf>
    <xf numFmtId="49" fontId="10" fillId="0" borderId="0" xfId="0" applyFont="1" applyAlignment="1">
      <alignment horizontal="center" vertical="center" wrapText="1"/>
    </xf>
    <xf numFmtId="49" fontId="10" fillId="0" borderId="1" xfId="0" applyFont="1" applyBorder="1" applyAlignment="1">
      <alignment horizontal="center" vertical="center" wrapText="1"/>
    </xf>
    <xf numFmtId="0" fontId="10" fillId="0" borderId="2" xfId="0" applyNumberFormat="1" applyFont="1" applyBorder="1" applyAlignment="1">
      <alignment horizontal="left" vertical="center" wrapText="1" indent="2"/>
    </xf>
    <xf numFmtId="0" fontId="10" fillId="0" borderId="2" xfId="0" applyNumberFormat="1" applyFont="1" applyBorder="1" applyAlignment="1">
      <alignment horizontal="center" vertical="center" wrapText="1"/>
    </xf>
    <xf numFmtId="49" fontId="10" fillId="0" borderId="2" xfId="0" applyFont="1" applyBorder="1" applyAlignment="1">
      <alignment horizontal="left" vertical="center" wrapText="1"/>
    </xf>
    <xf numFmtId="0" fontId="10" fillId="0" borderId="2" xfId="0" applyNumberFormat="1" applyFont="1" applyBorder="1" applyAlignment="1">
      <alignment vertical="center" wrapText="1"/>
    </xf>
    <xf numFmtId="0" fontId="11" fillId="0" borderId="0" xfId="0" applyNumberFormat="1" applyFont="1" applyAlignment="1">
      <alignment vertical="center" wrapText="1"/>
    </xf>
    <xf numFmtId="0" fontId="12" fillId="0" borderId="0" xfId="0" applyNumberFormat="1" applyFont="1" applyAlignment="1">
      <alignment vertical="center" wrapText="1"/>
    </xf>
    <xf numFmtId="0" fontId="10" fillId="0" borderId="0" xfId="0" applyNumberFormat="1" applyFont="1" applyAlignment="1">
      <alignment vertical="center" wrapText="1"/>
    </xf>
    <xf numFmtId="0" fontId="10" fillId="0" borderId="1" xfId="0" applyNumberFormat="1" applyFont="1" applyBorder="1" applyAlignment="1">
      <alignment horizontal="center" vertical="center" wrapText="1"/>
    </xf>
    <xf numFmtId="0" fontId="10" fillId="0" borderId="2" xfId="0" applyNumberFormat="1" applyFont="1" applyBorder="1" applyAlignment="1">
      <alignment horizontal="left" vertical="center" wrapText="1" indent="3"/>
    </xf>
    <xf numFmtId="4" fontId="10" fillId="0" borderId="2" xfId="0" applyNumberFormat="1" applyFont="1" applyBorder="1" applyAlignment="1">
      <alignment horizontal="right" vertical="center" wrapText="1"/>
    </xf>
    <xf numFmtId="0" fontId="13" fillId="0" borderId="0" xfId="0" applyNumberFormat="1" applyFont="1" applyAlignment="1">
      <alignment horizontal="center" vertical="center" wrapText="1"/>
    </xf>
    <xf numFmtId="49" fontId="4" fillId="7" borderId="7" xfId="0" applyFont="1" applyFill="1" applyBorder="1" applyAlignment="1">
      <alignment vertical="center" wrapText="1"/>
    </xf>
    <xf numFmtId="49" fontId="14" fillId="7" borderId="8" xfId="0" applyFont="1" applyFill="1" applyBorder="1" applyAlignment="1">
      <alignment horizontal="left" vertical="center" indent="2"/>
    </xf>
    <xf numFmtId="0" fontId="4" fillId="7" borderId="8" xfId="0" applyNumberFormat="1" applyFont="1" applyFill="1" applyBorder="1" applyAlignment="1">
      <alignment vertical="center" wrapText="1"/>
    </xf>
    <xf numFmtId="0" fontId="2" fillId="7" borderId="3" xfId="0" applyNumberFormat="1" applyFont="1" applyFill="1" applyBorder="1" applyAlignment="1">
      <alignment vertical="center" wrapText="1"/>
    </xf>
    <xf numFmtId="0" fontId="4" fillId="0" borderId="9" xfId="0" applyNumberFormat="1" applyFont="1" applyBorder="1" applyAlignment="1">
      <alignment vertical="center" wrapText="1"/>
    </xf>
    <xf numFmtId="0" fontId="4" fillId="0" borderId="2" xfId="0" applyNumberFormat="1" applyFont="1" applyBorder="1" applyAlignment="1">
      <alignment horizontal="left" vertical="center" wrapText="1" indent="2"/>
    </xf>
    <xf numFmtId="14" fontId="4" fillId="0" borderId="0" xfId="0" applyNumberFormat="1" applyFont="1" applyAlignment="1">
      <alignment horizontal="center" vertical="center" wrapText="1"/>
    </xf>
    <xf numFmtId="49" fontId="1" fillId="6" borderId="0" xfId="0" applyFont="1" applyFill="1" applyAlignment="1">
      <alignment horizontal="center" vertical="center" wrapText="1"/>
    </xf>
    <xf numFmtId="49" fontId="15" fillId="0" borderId="0" xfId="0" applyFont="1" applyAlignment="1">
      <alignment horizontal="center" vertical="center"/>
    </xf>
    <xf numFmtId="164" fontId="4" fillId="2" borderId="2" xfId="0" applyNumberFormat="1" applyFont="1" applyFill="1" applyBorder="1" applyAlignment="1" applyProtection="1">
      <alignment horizontal="right" vertical="center" wrapText="1"/>
      <protection locked="0"/>
    </xf>
    <xf numFmtId="49" fontId="1" fillId="0" borderId="0" xfId="0" applyFont="1" applyAlignment="1">
      <alignment horizontal="left" vertical="center" wrapText="1"/>
    </xf>
    <xf numFmtId="0" fontId="2" fillId="0" borderId="0" xfId="0" applyNumberFormat="1" applyFont="1" applyAlignment="1">
      <alignment horizontal="left" vertical="center" wrapText="1"/>
    </xf>
    <xf numFmtId="0" fontId="3" fillId="0" borderId="0" xfId="0" applyNumberFormat="1" applyFont="1" applyAlignment="1">
      <alignment horizontal="left" vertical="center" wrapText="1"/>
    </xf>
    <xf numFmtId="49" fontId="4" fillId="0" borderId="0" xfId="0" applyFont="1" applyAlignment="1">
      <alignment horizontal="left" vertical="center" wrapText="1"/>
    </xf>
    <xf numFmtId="0" fontId="5" fillId="0" borderId="0" xfId="0" applyNumberFormat="1" applyFont="1" applyAlignment="1">
      <alignment horizontal="left" vertical="center" wrapText="1"/>
    </xf>
    <xf numFmtId="0" fontId="6" fillId="0" borderId="0" xfId="0" applyNumberFormat="1" applyFont="1" applyAlignment="1">
      <alignment horizontal="left" vertical="center" wrapText="1"/>
    </xf>
    <xf numFmtId="49" fontId="4" fillId="8" borderId="2" xfId="0" applyFont="1" applyFill="1" applyBorder="1" applyAlignment="1">
      <alignment horizontal="left" vertical="center" wrapText="1"/>
    </xf>
    <xf numFmtId="0" fontId="4" fillId="0" borderId="9" xfId="0" applyNumberFormat="1" applyFont="1" applyBorder="1" applyAlignment="1">
      <alignment horizontal="center" vertical="center" wrapText="1"/>
    </xf>
    <xf numFmtId="4" fontId="4" fillId="5" borderId="9" xfId="0" applyNumberFormat="1" applyFont="1" applyFill="1" applyBorder="1" applyAlignment="1">
      <alignment horizontal="right" vertical="center" wrapText="1"/>
    </xf>
    <xf numFmtId="0" fontId="3" fillId="0" borderId="2" xfId="0" applyNumberFormat="1" applyFont="1" applyBorder="1" applyAlignment="1">
      <alignment horizontal="left" vertical="center" wrapText="1" indent="3"/>
    </xf>
    <xf numFmtId="49" fontId="3" fillId="0" borderId="2" xfId="0" applyFont="1" applyBorder="1" applyAlignment="1">
      <alignment vertical="center" wrapText="1"/>
    </xf>
    <xf numFmtId="0" fontId="3" fillId="0" borderId="9" xfId="0" applyNumberFormat="1" applyFont="1" applyBorder="1" applyAlignment="1">
      <alignment vertical="top" wrapText="1"/>
    </xf>
    <xf numFmtId="0" fontId="4" fillId="0" borderId="7" xfId="0" applyNumberFormat="1" applyFont="1" applyBorder="1" applyAlignment="1">
      <alignment horizontal="left" vertical="center" wrapText="1" indent="2"/>
    </xf>
    <xf numFmtId="4" fontId="4" fillId="2" borderId="3" xfId="0" applyNumberFormat="1" applyFont="1" applyFill="1" applyBorder="1" applyAlignment="1" applyProtection="1">
      <alignment horizontal="right" vertical="center" wrapText="1"/>
      <protection locked="0"/>
    </xf>
    <xf numFmtId="0" fontId="4" fillId="0" borderId="7" xfId="0" applyNumberFormat="1" applyFont="1" applyBorder="1" applyAlignment="1">
      <alignment horizontal="left" vertical="center" wrapText="1" indent="1"/>
    </xf>
    <xf numFmtId="0" fontId="4" fillId="0" borderId="7" xfId="0" applyNumberFormat="1" applyFont="1" applyBorder="1" applyAlignment="1">
      <alignment horizontal="left" vertical="center" wrapText="1"/>
    </xf>
    <xf numFmtId="0" fontId="4" fillId="0" borderId="10" xfId="0" applyNumberFormat="1" applyFont="1" applyBorder="1" applyAlignment="1">
      <alignment horizontal="center" vertical="center" wrapText="1"/>
    </xf>
    <xf numFmtId="49" fontId="16" fillId="3" borderId="3" xfId="0" applyFont="1" applyFill="1" applyBorder="1" applyAlignment="1" applyProtection="1">
      <alignment horizontal="left" vertical="center" wrapText="1"/>
      <protection locked="0"/>
    </xf>
    <xf numFmtId="49" fontId="16" fillId="3" borderId="2" xfId="0" applyFont="1" applyFill="1" applyBorder="1" applyAlignment="1" applyProtection="1">
      <alignment horizontal="left" vertical="center" wrapText="1"/>
      <protection locked="0"/>
    </xf>
    <xf numFmtId="164" fontId="4" fillId="2" borderId="3" xfId="0" applyNumberFormat="1" applyFont="1" applyFill="1" applyBorder="1" applyAlignment="1" applyProtection="1">
      <alignment horizontal="right" vertical="center" wrapText="1"/>
      <protection locked="0"/>
    </xf>
    <xf numFmtId="164" fontId="4" fillId="5" borderId="3"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2" borderId="2" xfId="0" applyNumberFormat="1" applyFont="1" applyFill="1" applyBorder="1" applyAlignment="1" applyProtection="1">
      <alignment horizontal="center" vertical="center" wrapText="1"/>
      <protection locked="0"/>
    </xf>
    <xf numFmtId="4" fontId="4" fillId="2" borderId="11" xfId="0" applyNumberFormat="1" applyFont="1" applyFill="1" applyBorder="1" applyAlignment="1" applyProtection="1">
      <alignment horizontal="right" vertical="center" wrapText="1"/>
      <protection locked="0"/>
    </xf>
    <xf numFmtId="4" fontId="4" fillId="2" borderId="10" xfId="0" applyNumberFormat="1" applyFont="1" applyFill="1" applyBorder="1" applyAlignment="1" applyProtection="1">
      <alignment horizontal="right" vertical="center" wrapText="1"/>
      <protection locked="0"/>
    </xf>
    <xf numFmtId="0" fontId="3" fillId="0" borderId="12" xfId="0" applyNumberFormat="1" applyFont="1" applyBorder="1" applyAlignment="1">
      <alignment horizontal="left" vertical="center" wrapText="1" indent="1"/>
    </xf>
    <xf numFmtId="0" fontId="3" fillId="0" borderId="12" xfId="0" applyNumberFormat="1" applyFont="1" applyBorder="1" applyAlignment="1">
      <alignment horizontal="center" vertical="center" wrapText="1"/>
    </xf>
    <xf numFmtId="0" fontId="3" fillId="0" borderId="9" xfId="0" applyNumberFormat="1" applyFont="1" applyBorder="1" applyAlignment="1">
      <alignment vertical="center" wrapText="1"/>
    </xf>
    <xf numFmtId="49" fontId="4" fillId="7" borderId="13" xfId="0" applyFont="1" applyFill="1" applyBorder="1" applyAlignment="1">
      <alignment vertical="center" wrapText="1"/>
    </xf>
    <xf numFmtId="49" fontId="14" fillId="7" borderId="5" xfId="0" applyFont="1" applyFill="1" applyBorder="1" applyAlignment="1">
      <alignment horizontal="left" vertical="center" indent="1"/>
    </xf>
    <xf numFmtId="0" fontId="4" fillId="0" borderId="10" xfId="0" applyNumberFormat="1" applyFont="1" applyBorder="1" applyAlignment="1">
      <alignment vertical="top" wrapText="1"/>
    </xf>
    <xf numFmtId="0" fontId="4" fillId="0" borderId="4" xfId="0" applyNumberFormat="1" applyFont="1" applyBorder="1" applyAlignment="1">
      <alignment horizontal="center" vertical="center" wrapText="1"/>
    </xf>
    <xf numFmtId="164" fontId="4" fillId="2" borderId="9" xfId="0" applyNumberFormat="1" applyFont="1" applyFill="1" applyBorder="1" applyAlignment="1" applyProtection="1">
      <alignment horizontal="right" vertical="center" wrapText="1"/>
      <protection locked="0"/>
    </xf>
    <xf numFmtId="0" fontId="3" fillId="0" borderId="10" xfId="0" applyNumberFormat="1" applyFont="1" applyBorder="1" applyAlignment="1">
      <alignment horizontal="left" vertical="center" wrapText="1" indent="1"/>
    </xf>
    <xf numFmtId="0" fontId="3" fillId="0" borderId="9" xfId="0" applyNumberFormat="1" applyFont="1" applyBorder="1" applyAlignment="1">
      <alignment horizontal="center" vertical="center" wrapText="1"/>
    </xf>
    <xf numFmtId="49" fontId="14" fillId="7" borderId="8" xfId="0" applyFont="1" applyFill="1" applyBorder="1" applyAlignment="1">
      <alignment horizontal="left" vertical="center" indent="1"/>
    </xf>
    <xf numFmtId="0" fontId="3" fillId="0" borderId="9" xfId="0" applyNumberFormat="1" applyFont="1" applyBorder="1" applyAlignment="1">
      <alignment horizontal="left" vertical="center" wrapText="1" indent="1"/>
    </xf>
    <xf numFmtId="49" fontId="17" fillId="3" borderId="2" xfId="0" applyFont="1" applyFill="1" applyBorder="1" applyAlignment="1" applyProtection="1">
      <alignment horizontal="left" vertical="center" wrapText="1"/>
      <protection locked="0"/>
    </xf>
    <xf numFmtId="0" fontId="4" fillId="0" borderId="0" xfId="0" applyNumberFormat="1" applyFont="1" applyAlignment="1">
      <alignment horizontal="right" vertical="top" wrapText="1"/>
    </xf>
    <xf numFmtId="0" fontId="4" fillId="0" borderId="0" xfId="0" applyNumberFormat="1" applyFont="1" applyAlignment="1">
      <alignment vertical="top" wrapText="1"/>
    </xf>
    <xf numFmtId="0" fontId="4" fillId="0" borderId="0" xfId="0" applyNumberFormat="1" applyFont="1" applyAlignment="1">
      <alignment horizontal="left" vertical="top" wrapText="1"/>
    </xf>
    <xf numFmtId="0" fontId="4" fillId="0" borderId="0" xfId="0" applyNumberFormat="1" applyFont="1" applyAlignment="1">
      <alignment horizontal="left" vertical="center" wrapText="1"/>
    </xf>
    <xf numFmtId="0" fontId="5" fillId="0" borderId="0" xfId="0" applyNumberFormat="1" applyFont="1" applyAlignment="1">
      <alignment vertical="center"/>
    </xf>
    <xf numFmtId="0" fontId="1" fillId="0" borderId="0" xfId="0" applyNumberFormat="1" applyFont="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7\&#1101;&#1082;&#1086;&#1085;&#1086;&#1084;&#1080;&#1089;&#1090;&#1099;2\&#1057;&#1058;&#1040;&#1058;&#1048;&#1057;&#1058;&#1048;&#1050;&#1040;\&#1045;&#1048;&#1040;&#1057;_&#1042;&#1045;&#1041;+&#1052;&#1086;&#1085;&#1080;&#1090;&#1086;&#1088;&#1080;&#1085;&#1075;_&#1040;&#1056;&#1052;\&#1058;&#1045;&#1055;&#1051;&#1054;\2025\PP110.OPEN.INFO.BALANCE.HEAT.EIAS(v1.1.2)%202024_export.xlsx" TargetMode="External"/><Relationship Id="rId1" Type="http://schemas.openxmlformats.org/officeDocument/2006/relationships/externalLinkPath" Target="file:///\\192.168.1.7\&#1101;&#1082;&#1086;&#1085;&#1086;&#1084;&#1080;&#1089;&#1090;&#1099;2\&#1057;&#1058;&#1040;&#1058;&#1048;&#1057;&#1058;&#1048;&#1050;&#1040;\&#1045;&#1048;&#1040;&#1057;_&#1042;&#1045;&#1041;+&#1052;&#1086;&#1085;&#1080;&#1090;&#1086;&#1088;&#1080;&#1085;&#1075;_&#1040;&#1056;&#1052;\&#1058;&#1045;&#1055;&#1051;&#1054;\2025\PP110.OPEN.INFO.BALANCE.HEAT.EIAS(v1.1.2)%202024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форма 7"/>
      <sheetName val="Показатели ФХД &gt;20%"/>
      <sheetName val="Показатели ОТЭП"/>
      <sheetName val="Стандарты качества"/>
      <sheetName val="ТКО. Показатели ФХД"/>
      <sheetName val="ТКО. Транс. Показатели ФХД"/>
      <sheetName val="форма 12"/>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PP110.OPEN.INFO.BALANCE.HEAT.EIAS</v>
          </cell>
        </row>
        <row r="3">
          <cell r="B3" t="str">
            <v>Версия отчёта: 1.1.5</v>
          </cell>
        </row>
      </sheetData>
      <sheetData sheetId="1">
        <row r="7">
          <cell r="F7" t="str">
            <v>Ханты-Мансийский автономный округ</v>
          </cell>
        </row>
        <row r="11">
          <cell r="F11" t="str">
            <v/>
          </cell>
        </row>
        <row r="13">
          <cell r="F13" t="str">
            <v/>
          </cell>
        </row>
        <row r="14">
          <cell r="F14">
            <v>2024</v>
          </cell>
        </row>
        <row r="31">
          <cell r="F31" t="str">
            <v>АО "Юграавиа"</v>
          </cell>
        </row>
        <row r="33">
          <cell r="F33" t="str">
            <v>8601053210</v>
          </cell>
        </row>
        <row r="34">
          <cell r="F34" t="str">
            <v>860101001</v>
          </cell>
        </row>
        <row r="36">
          <cell r="F36" t="str">
            <v>Регулируемая организация</v>
          </cell>
        </row>
        <row r="41">
          <cell r="F41" t="str">
            <v>нет</v>
          </cell>
        </row>
      </sheetData>
      <sheetData sheetId="2">
        <row r="12">
          <cell r="F12" t="str">
            <v>ter_1</v>
          </cell>
          <cell r="G12" t="str">
            <v>Территория 1</v>
          </cell>
        </row>
        <row r="13">
          <cell r="F13" t="str">
            <v>91</v>
          </cell>
          <cell r="G13" t="str">
            <v>Ханты-Мансийск</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t="str">
            <v>Производство тепловой энергии. Некомбинированная выработка; Передача. Тепловая энергия; Сбыт. Тепловая энергия</v>
          </cell>
          <cell r="Q13" t="str">
            <v>без дифференциации</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2025</v>
          </cell>
        </row>
        <row r="45">
          <cell r="E45" t="str">
            <v>B</v>
          </cell>
          <cell r="J45"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cell r="K45" t="str">
            <v>Перечень муниципальных районов и муниципальных образований (территорий оказания услуг)</v>
          </cell>
        </row>
        <row r="46">
          <cell r="F46" t="str">
            <v>O</v>
          </cell>
          <cell r="G46" t="str">
            <v>01.01.2025</v>
          </cell>
          <cell r="H46" t="str">
            <v>31.12.2025</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0</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0</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0</v>
          </cell>
          <cell r="J50" t="str">
            <v>Информация об инвестиционных программах регулируемой организации в области теплоснабжения</v>
          </cell>
        </row>
        <row r="51">
          <cell r="F51" t="str">
            <v>R</v>
          </cell>
          <cell r="G51" t="str">
            <v>01.01.2025</v>
          </cell>
          <cell r="H51" t="str">
            <v>31.12.2025</v>
          </cell>
          <cell r="I51" t="b">
            <v>1</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01.01.2025</v>
          </cell>
          <cell r="H52" t="str">
            <v>31.12.2025</v>
          </cell>
          <cell r="I52" t="b">
            <v>1</v>
          </cell>
          <cell r="J52" t="str">
            <v>Показатели, подлежащие раскрытию в сфере теплоснабжения (цены и тарифы)</v>
          </cell>
        </row>
        <row r="53">
          <cell r="F53" t="str">
            <v>ROIV</v>
          </cell>
          <cell r="G53" t="str">
            <v>01.01.2024</v>
          </cell>
          <cell r="H53" t="str">
            <v>31.12.2024</v>
          </cell>
          <cell r="I53" t="b">
            <v>0</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АО "Юграавиа"</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ortal.eias.ru/Portal/DownloadPage.aspx?type=12&amp;guid=ee558bd8-551c-4dd3-a86a-e31e749ec6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C0C4E-940E-4595-83A7-3BF8E1FDE667}">
  <sheetPr>
    <tabColor theme="9" tint="-0.249977111117893"/>
  </sheetPr>
  <dimension ref="A1:AF303"/>
  <sheetViews>
    <sheetView showGridLines="0" tabSelected="1" topLeftCell="D20" zoomScale="90" workbookViewId="0">
      <selection activeCell="I50" sqref="I50"/>
    </sheetView>
  </sheetViews>
  <sheetFormatPr defaultColWidth="9.125" defaultRowHeight="11.25" customHeight="1"/>
  <cols>
    <col min="1" max="1" width="10.75" style="1" hidden="1" customWidth="1"/>
    <col min="2" max="2" width="16.875" style="2" hidden="1" customWidth="1"/>
    <col min="3" max="3" width="5.625" style="3" hidden="1" customWidth="1"/>
    <col min="4" max="4" width="3" style="4" customWidth="1"/>
    <col min="5" max="5" width="7" style="4" customWidth="1"/>
    <col min="6" max="6" width="54" style="4" customWidth="1"/>
    <col min="7" max="7" width="10" style="4" customWidth="1"/>
    <col min="8" max="8" width="40.75" style="4" hidden="1" customWidth="1"/>
    <col min="9" max="9" width="40.75" style="4" customWidth="1"/>
    <col min="10" max="10" width="102" style="4" customWidth="1"/>
    <col min="11" max="11" width="9" style="2" customWidth="1"/>
    <col min="12" max="12" width="5" style="3" customWidth="1"/>
    <col min="13" max="13" width="3" style="3" customWidth="1"/>
    <col min="14" max="17" width="3" style="2" customWidth="1"/>
    <col min="18" max="18" width="10" style="3" customWidth="1"/>
    <col min="19" max="19" width="34" style="2" customWidth="1"/>
    <col min="20" max="20" width="9" style="2" customWidth="1"/>
    <col min="21" max="21" width="8" style="5" customWidth="1"/>
    <col min="22" max="26" width="8" style="2" customWidth="1"/>
    <col min="27" max="31" width="8" style="6" customWidth="1"/>
    <col min="32" max="32" width="9.125" style="4"/>
  </cols>
  <sheetData>
    <row r="1" spans="1:32" ht="22.5" hidden="1" customHeight="1">
      <c r="AF1" s="4" t="s">
        <v>0</v>
      </c>
    </row>
    <row r="2" spans="1:32" ht="23.25" hidden="1" customHeight="1">
      <c r="B2" s="7"/>
      <c r="C2" s="8" t="s">
        <v>1</v>
      </c>
      <c r="D2" s="9"/>
      <c r="E2" s="10">
        <f>B2</f>
        <v>0</v>
      </c>
      <c r="F2" s="11"/>
      <c r="G2" s="12" t="s">
        <v>2</v>
      </c>
      <c r="H2" s="12" t="s">
        <v>2</v>
      </c>
      <c r="I2" s="12" t="s">
        <v>2</v>
      </c>
      <c r="J2" s="13" t="s">
        <v>3</v>
      </c>
      <c r="K2" s="14"/>
      <c r="AF2" s="4">
        <v>0</v>
      </c>
    </row>
    <row r="3" spans="1:32" s="3" customFormat="1" ht="0.75" hidden="1" customHeight="1">
      <c r="B3" s="7"/>
      <c r="C3" s="8"/>
      <c r="D3" s="8"/>
      <c r="E3" s="15"/>
      <c r="F3" s="16" t="s">
        <v>4</v>
      </c>
      <c r="G3" s="17"/>
      <c r="H3" s="17">
        <f>H4*H5+H6</f>
        <v>0</v>
      </c>
      <c r="I3" s="17">
        <f>I4*I5+I6</f>
        <v>0</v>
      </c>
      <c r="J3" s="18"/>
      <c r="AF3" s="3">
        <v>0</v>
      </c>
    </row>
    <row r="4" spans="1:32" ht="23.25" hidden="1" customHeight="1">
      <c r="B4" s="7"/>
      <c r="C4" s="8"/>
      <c r="D4" s="9"/>
      <c r="E4" s="10" t="str">
        <f>B2&amp;".1"</f>
        <v>.1</v>
      </c>
      <c r="F4" s="19" t="s">
        <v>5</v>
      </c>
      <c r="G4" s="20"/>
      <c r="H4" s="21"/>
      <c r="I4" s="21"/>
      <c r="J4" s="13" t="s">
        <v>6</v>
      </c>
      <c r="K4" s="14"/>
      <c r="AF4" s="4">
        <v>0</v>
      </c>
    </row>
    <row r="5" spans="1:32" ht="18.75" hidden="1" customHeight="1">
      <c r="B5" s="7"/>
      <c r="C5" s="8"/>
      <c r="D5" s="9"/>
      <c r="E5" s="10" t="str">
        <f>B2&amp;".2"</f>
        <v>.2</v>
      </c>
      <c r="F5" s="19" t="s">
        <v>7</v>
      </c>
      <c r="G5" s="12" t="s">
        <v>8</v>
      </c>
      <c r="H5" s="21"/>
      <c r="I5" s="21"/>
      <c r="J5" s="13"/>
      <c r="K5" s="14"/>
      <c r="AF5" s="4">
        <v>0</v>
      </c>
    </row>
    <row r="6" spans="1:32" ht="18.75" hidden="1" customHeight="1">
      <c r="B6" s="7"/>
      <c r="C6" s="8"/>
      <c r="D6" s="9"/>
      <c r="E6" s="10" t="str">
        <f>B2&amp;".3"</f>
        <v>.3</v>
      </c>
      <c r="F6" s="19" t="s">
        <v>9</v>
      </c>
      <c r="G6" s="12" t="s">
        <v>8</v>
      </c>
      <c r="H6" s="21"/>
      <c r="I6" s="21"/>
      <c r="J6" s="13"/>
      <c r="K6" s="14"/>
      <c r="AF6" s="4">
        <v>0</v>
      </c>
    </row>
    <row r="7" spans="1:32" ht="18.75" hidden="1" customHeight="1">
      <c r="B7" s="7"/>
      <c r="C7" s="8"/>
      <c r="D7" s="9"/>
      <c r="E7" s="10" t="str">
        <f>B2&amp;".4"</f>
        <v>.4</v>
      </c>
      <c r="F7" s="19" t="s">
        <v>10</v>
      </c>
      <c r="G7" s="12" t="s">
        <v>2</v>
      </c>
      <c r="H7" s="22"/>
      <c r="I7" s="22"/>
      <c r="J7" s="13"/>
      <c r="K7" s="14"/>
      <c r="AF7" s="4">
        <v>0</v>
      </c>
    </row>
    <row r="8" spans="1:32" s="2" customFormat="1" ht="11.25" hidden="1" customHeight="1">
      <c r="A8" s="1"/>
      <c r="C8" s="3"/>
      <c r="H8" s="2">
        <v>4</v>
      </c>
      <c r="I8" s="2">
        <v>4</v>
      </c>
      <c r="L8" s="3"/>
      <c r="M8" s="3"/>
      <c r="R8" s="3"/>
      <c r="AF8" s="2">
        <v>0</v>
      </c>
    </row>
    <row r="9" spans="1:32" s="2" customFormat="1" ht="22.5" hidden="1" customHeight="1">
      <c r="A9" s="1"/>
      <c r="C9" s="3"/>
      <c r="D9" s="23"/>
      <c r="E9" s="12"/>
      <c r="F9" s="24"/>
      <c r="G9" s="12" t="s">
        <v>8</v>
      </c>
      <c r="H9" s="21"/>
      <c r="I9" s="21"/>
      <c r="J9" s="25" t="s">
        <v>11</v>
      </c>
      <c r="K9" s="14"/>
      <c r="L9" s="3"/>
      <c r="M9" s="3"/>
      <c r="R9" s="3"/>
      <c r="U9" s="5"/>
      <c r="AA9" s="6"/>
      <c r="AB9" s="6"/>
      <c r="AC9" s="6"/>
      <c r="AD9" s="6"/>
      <c r="AE9" s="6"/>
      <c r="AF9" s="2">
        <v>0</v>
      </c>
    </row>
    <row r="10" spans="1:32" ht="11.25" hidden="1" customHeight="1">
      <c r="AF10" s="4">
        <v>0</v>
      </c>
    </row>
    <row r="11" spans="1:32" ht="18.75" hidden="1" customHeight="1">
      <c r="D11" s="9"/>
      <c r="E11" s="10"/>
      <c r="F11" s="24"/>
      <c r="G11" s="12" t="s">
        <v>12</v>
      </c>
      <c r="H11" s="21"/>
      <c r="I11" s="21"/>
      <c r="J11" s="13" t="s">
        <v>13</v>
      </c>
      <c r="K11" s="14"/>
      <c r="AF11" s="4">
        <v>0</v>
      </c>
    </row>
    <row r="12" spans="1:32" ht="11.25" hidden="1" customHeight="1">
      <c r="AF12" s="4">
        <v>0</v>
      </c>
    </row>
    <row r="13" spans="1:32" ht="22.5" hidden="1" customHeight="1">
      <c r="D13" s="9"/>
      <c r="E13" s="10"/>
      <c r="F13" s="24"/>
      <c r="G13" s="26" t="s">
        <v>14</v>
      </c>
      <c r="H13" s="27"/>
      <c r="I13" s="27"/>
      <c r="J13" s="28" t="s">
        <v>15</v>
      </c>
      <c r="K13" s="14"/>
      <c r="AF13" s="4">
        <v>0</v>
      </c>
    </row>
    <row r="14" spans="1:32" ht="11.25" hidden="1" customHeight="1">
      <c r="AF14" s="4">
        <v>0</v>
      </c>
    </row>
    <row r="15" spans="1:32" ht="22.5" hidden="1" customHeight="1">
      <c r="D15" s="9"/>
      <c r="E15" s="10"/>
      <c r="F15" s="24"/>
      <c r="G15" s="12" t="s">
        <v>16</v>
      </c>
      <c r="H15" s="27"/>
      <c r="I15" s="27"/>
      <c r="J15" s="13" t="s">
        <v>17</v>
      </c>
      <c r="K15" s="14"/>
      <c r="AF15" s="4">
        <v>0</v>
      </c>
    </row>
    <row r="16" spans="1:32" ht="11.25" hidden="1" customHeight="1">
      <c r="AF16" s="4">
        <v>0</v>
      </c>
    </row>
    <row r="17" spans="1:32" ht="22.5" hidden="1" customHeight="1">
      <c r="D17" s="9"/>
      <c r="E17" s="10"/>
      <c r="F17" s="24"/>
      <c r="G17" s="12" t="s">
        <v>18</v>
      </c>
      <c r="H17" s="27"/>
      <c r="I17" s="27"/>
      <c r="J17" s="13" t="s">
        <v>19</v>
      </c>
      <c r="K17" s="14"/>
      <c r="AF17" s="4">
        <v>0</v>
      </c>
    </row>
    <row r="18" spans="1:32" ht="11.25" hidden="1" customHeight="1">
      <c r="AF18" s="4">
        <v>0</v>
      </c>
    </row>
    <row r="19" spans="1:32" s="6" customFormat="1" ht="11.25" hidden="1" customHeight="1">
      <c r="A19" s="1"/>
      <c r="B19" s="2"/>
      <c r="C19" s="3"/>
      <c r="J19" s="6">
        <v>4</v>
      </c>
      <c r="K19" s="2"/>
      <c r="L19" s="3"/>
      <c r="M19" s="3"/>
      <c r="N19" s="2"/>
      <c r="O19" s="2"/>
      <c r="P19" s="2"/>
      <c r="Q19" s="2"/>
      <c r="R19" s="3"/>
      <c r="S19" s="2"/>
      <c r="T19" s="2"/>
      <c r="U19" s="5"/>
      <c r="V19" s="2"/>
      <c r="W19" s="2"/>
      <c r="X19" s="2"/>
      <c r="Y19" s="2"/>
      <c r="Z19" s="2"/>
      <c r="AF19" s="6">
        <v>0</v>
      </c>
    </row>
    <row r="20" spans="1:32" ht="11.55" customHeight="1">
      <c r="AF20" s="4">
        <v>11</v>
      </c>
    </row>
    <row r="21" spans="1:32" ht="25.2" customHeight="1">
      <c r="E21" s="29" t="str">
        <f>FHD_NAME_FORM</f>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
      <c r="F21" s="29"/>
      <c r="G21" s="29"/>
      <c r="H21" s="29"/>
      <c r="I21" s="29"/>
      <c r="J21" s="30"/>
      <c r="AF21" s="4">
        <v>24</v>
      </c>
    </row>
    <row r="22" spans="1:32" ht="25.2" customHeight="1">
      <c r="E22" s="31" t="str">
        <f>IF(org=0,"Не определено",org)</f>
        <v>АО "Юграавиа"</v>
      </c>
      <c r="F22" s="31"/>
      <c r="G22" s="31"/>
      <c r="H22" s="31"/>
      <c r="I22" s="31"/>
      <c r="AF22" s="4">
        <v>24</v>
      </c>
    </row>
    <row r="23" spans="1:32" ht="11.55" customHeight="1">
      <c r="E23" s="32"/>
      <c r="F23" s="32"/>
      <c r="G23" s="32"/>
      <c r="H23" s="32"/>
      <c r="I23" s="32"/>
      <c r="AF23" s="4">
        <v>11</v>
      </c>
    </row>
    <row r="24" spans="1:32" s="3" customFormat="1" ht="1.05" customHeight="1">
      <c r="A24" s="8"/>
      <c r="H24" s="33"/>
      <c r="I24" s="33" t="s">
        <v>20</v>
      </c>
      <c r="AF24" s="3">
        <v>1</v>
      </c>
    </row>
    <row r="25" spans="1:32" ht="11.55" customHeight="1">
      <c r="E25" s="34"/>
      <c r="F25" s="35" t="s">
        <v>21</v>
      </c>
      <c r="G25" s="36"/>
      <c r="H25" s="37" t="str">
        <f>IF(H24="","",INDEX(DIFFERENTIATION_UNMERGE_VD,MATCH(H24,DIFFERENTIATION_ID_DIFF,0)))</f>
        <v/>
      </c>
      <c r="I25" s="37" t="str">
        <f>IF(I24="","",INDEX(DIFFERENTIATION_UNMERGE_VD,MATCH(I24,DIFFERENTIATION_ID_DIFF,0)))</f>
        <v>Производство тепловой энергии. Некомбинированная выработка; Передача. Тепловая энергия; Сбыт. Тепловая энергия</v>
      </c>
      <c r="J25" s="38"/>
      <c r="AF25" s="4">
        <v>11</v>
      </c>
    </row>
    <row r="26" spans="1:32" ht="11.55" customHeight="1">
      <c r="E26" s="34"/>
      <c r="F26" s="35" t="s">
        <v>22</v>
      </c>
      <c r="G26" s="36"/>
      <c r="H26" s="37" t="str">
        <f>IF(H24="","",INDEX(DIFFERENTIATION_UNMERGE_AREA,MATCH(H24,DIFFERENTIATION_ID_DIFF,0)))</f>
        <v/>
      </c>
      <c r="I26" s="37" t="str">
        <f>IF(I24="","",INDEX(DIFFERENTIATION_UNMERGE_AREA,MATCH(I24,DIFFERENTIATION_ID_DIFF,0)))</f>
        <v>без дифференциации</v>
      </c>
      <c r="J26" s="38"/>
      <c r="AF26" s="4">
        <v>11</v>
      </c>
    </row>
    <row r="27" spans="1:32" ht="11.55" customHeight="1">
      <c r="E27" s="34"/>
      <c r="F27" s="35" t="s">
        <v>23</v>
      </c>
      <c r="G27" s="36"/>
      <c r="H27" s="37" t="str">
        <f>IF(H24="","",INDEX(DIFFERENTIATION_UNMERGE_SYSTEM,MATCH(H24,DIFFERENTIATION_ID_DIFF,0)))</f>
        <v/>
      </c>
      <c r="I27" s="37" t="str">
        <f>IF(I24="","",INDEX(DIFFERENTIATION_UNMERGE_SYSTEM,MATCH(I24,DIFFERENTIATION_ID_DIFF,0)))</f>
        <v>без дифференциации</v>
      </c>
      <c r="J27" s="38"/>
      <c r="AF27" s="4">
        <v>11</v>
      </c>
    </row>
    <row r="28" spans="1:32" ht="11.55" customHeight="1">
      <c r="E28" s="39" t="s">
        <v>24</v>
      </c>
      <c r="F28" s="40"/>
      <c r="G28" s="40"/>
      <c r="H28" s="41"/>
      <c r="I28" s="41"/>
      <c r="J28" s="38"/>
      <c r="AF28" s="4">
        <v>11</v>
      </c>
    </row>
    <row r="29" spans="1:32" ht="24" customHeight="1">
      <c r="E29" s="12" t="s">
        <v>25</v>
      </c>
      <c r="F29" s="12" t="s">
        <v>26</v>
      </c>
      <c r="G29" s="12" t="s">
        <v>27</v>
      </c>
      <c r="H29" s="12" t="s">
        <v>28</v>
      </c>
      <c r="I29" s="12" t="s">
        <v>28</v>
      </c>
      <c r="J29" s="38"/>
      <c r="AF29" s="4">
        <v>23</v>
      </c>
    </row>
    <row r="30" spans="1:32" ht="20.25" customHeight="1">
      <c r="D30" s="9"/>
      <c r="E30" s="10">
        <f>FHD_NUM_P_1</f>
        <v>1</v>
      </c>
      <c r="F30" s="42" t="str">
        <f>FHD_P_1</f>
        <v>Выручка от регулируемого вида деятельности с распределением по видам деятельности</v>
      </c>
      <c r="G30" s="12" t="s">
        <v>8</v>
      </c>
      <c r="H30" s="43"/>
      <c r="I30" s="43">
        <v>2071.7399999999998</v>
      </c>
      <c r="J30" s="13" t="str">
        <f>FHD_NOTE_P_1</f>
        <v>Указывается выручка от регулируемого вида деятельности с распределением по видам деятельности.</v>
      </c>
      <c r="K30" s="14"/>
      <c r="AF30" s="4">
        <v>19</v>
      </c>
    </row>
    <row r="31" spans="1:32" ht="21" customHeight="1">
      <c r="D31" s="9"/>
      <c r="E31" s="10">
        <f>FHD_NUM_P_2</f>
        <v>2</v>
      </c>
      <c r="F31" s="42" t="str">
        <f>FHD_P_2</f>
        <v>Себестоимость производимых товаров (оказываемых услуг) по регулируемому виду деятельности, включая:</v>
      </c>
      <c r="G31" s="12" t="s">
        <v>8</v>
      </c>
      <c r="H31" s="44">
        <f>SUMIF($K32:$K71,$K31,H32:H71)</f>
        <v>0</v>
      </c>
      <c r="I31" s="44">
        <f>SUMIF($K32:$K71,$K31,I32:I71)</f>
        <v>1853.8247999999999</v>
      </c>
      <c r="J31" s="13" t="str">
        <f>FHD_NOTE_P_2</f>
        <v>Указывается суммарная себестоимость производимых товаров.</v>
      </c>
      <c r="K31" s="3" t="s">
        <v>29</v>
      </c>
      <c r="AF31" s="4">
        <v>11</v>
      </c>
    </row>
    <row r="32" spans="1:32" ht="11.55" customHeight="1">
      <c r="D32" s="9"/>
      <c r="E32" s="10" t="str">
        <f>FHD_NUM_P_3</f>
        <v>2.1</v>
      </c>
      <c r="F32" s="45" t="str">
        <f>FHD_P_3</f>
        <v>Расходы на приобретаемую тепловую энергию (мощность), теплоноситель</v>
      </c>
      <c r="G32" s="12" t="s">
        <v>8</v>
      </c>
      <c r="H32" s="43"/>
      <c r="I32" s="43">
        <v>0</v>
      </c>
      <c r="J32" s="13" t="str">
        <f>FHD_NOTE_P_3</f>
        <v/>
      </c>
      <c r="K32" s="3" t="str">
        <f t="shared" ref="K32:K70" si="0">IF((LEN(E32)-LEN(SUBSTITUTE(E32,".","")))/LEN(".")=1,"p","")</f>
        <v>p</v>
      </c>
      <c r="AF32" s="4">
        <v>11</v>
      </c>
    </row>
    <row r="33" spans="1:32" ht="11.25" customHeight="1">
      <c r="A33" s="46" t="s">
        <v>30</v>
      </c>
      <c r="D33" s="9"/>
      <c r="E33" s="10" t="str">
        <f>FHD_NUM_P_4</f>
        <v>2.2</v>
      </c>
      <c r="F33" s="45" t="str">
        <f>FHD_P_4</f>
        <v>Расходы на топливо с указанием по каждому виду топлива стоимости (за единицу объема), объема и способа его приобретения, стоимости его доставки</v>
      </c>
      <c r="G33" s="12" t="s">
        <v>8</v>
      </c>
      <c r="H33" s="44">
        <f>SUMIF($F34:$F40,$F3,H34:H40)</f>
        <v>0</v>
      </c>
      <c r="I33" s="44">
        <f>SUMIF($F34:$F40,$F3,I34:I40)</f>
        <v>0</v>
      </c>
      <c r="J33" s="13" t="str">
        <f>FHD_NOTE_P_4</f>
        <v>Указываются суммарные расходы на приобретение топлива всех видов.</v>
      </c>
      <c r="K33" s="3" t="str">
        <f t="shared" si="0"/>
        <v>p</v>
      </c>
      <c r="AF33" s="4">
        <v>0</v>
      </c>
    </row>
    <row r="34" spans="1:32" s="56" customFormat="1" ht="0.75" customHeight="1">
      <c r="A34" s="46"/>
      <c r="B34" s="47" t="str">
        <f>E33&amp;".0"</f>
        <v>2.2.0</v>
      </c>
      <c r="C34" s="8"/>
      <c r="D34" s="48"/>
      <c r="E34" s="49"/>
      <c r="F34" s="50"/>
      <c r="G34" s="51"/>
      <c r="H34" s="52"/>
      <c r="I34" s="52"/>
      <c r="J34" s="53"/>
      <c r="K34" s="3" t="str">
        <f t="shared" si="0"/>
        <v/>
      </c>
      <c r="L34" s="3"/>
      <c r="M34" s="3"/>
      <c r="N34" s="3"/>
      <c r="O34" s="3"/>
      <c r="P34" s="3"/>
      <c r="Q34" s="3"/>
      <c r="R34" s="3"/>
      <c r="S34" s="3"/>
      <c r="T34" s="3"/>
      <c r="U34" s="54"/>
      <c r="V34" s="3"/>
      <c r="W34" s="3"/>
      <c r="X34" s="3"/>
      <c r="Y34" s="3"/>
      <c r="Z34" s="3"/>
      <c r="AA34" s="55"/>
      <c r="AB34" s="55"/>
      <c r="AC34" s="55"/>
      <c r="AD34" s="55"/>
      <c r="AE34" s="55"/>
      <c r="AF34" s="56">
        <v>0</v>
      </c>
    </row>
    <row r="35" spans="1:32" s="56" customFormat="1" ht="0.75" customHeight="1">
      <c r="A35" s="46"/>
      <c r="B35" s="47"/>
      <c r="C35" s="8"/>
      <c r="D35" s="48"/>
      <c r="E35" s="57"/>
      <c r="F35" s="58"/>
      <c r="G35" s="51"/>
      <c r="H35" s="59"/>
      <c r="I35" s="59"/>
      <c r="J35" s="53"/>
      <c r="K35" s="3" t="str">
        <f t="shared" si="0"/>
        <v/>
      </c>
      <c r="L35" s="3"/>
      <c r="M35" s="3"/>
      <c r="N35" s="3"/>
      <c r="O35" s="3"/>
      <c r="P35" s="3"/>
      <c r="Q35" s="3"/>
      <c r="R35" s="3"/>
      <c r="S35" s="3"/>
      <c r="T35" s="3"/>
      <c r="U35" s="54"/>
      <c r="V35" s="3"/>
      <c r="W35" s="3"/>
      <c r="X35" s="3"/>
      <c r="Y35" s="3"/>
      <c r="Z35" s="3"/>
      <c r="AA35" s="55"/>
      <c r="AB35" s="55"/>
      <c r="AC35" s="55"/>
      <c r="AD35" s="55"/>
      <c r="AE35" s="55"/>
      <c r="AF35" s="56">
        <v>0</v>
      </c>
    </row>
    <row r="36" spans="1:32" s="56" customFormat="1" ht="0.75" customHeight="1">
      <c r="A36" s="46"/>
      <c r="B36" s="47"/>
      <c r="C36" s="8"/>
      <c r="D36" s="48"/>
      <c r="E36" s="57"/>
      <c r="F36" s="58"/>
      <c r="G36" s="51"/>
      <c r="H36" s="59"/>
      <c r="I36" s="59"/>
      <c r="J36" s="53"/>
      <c r="K36" s="3" t="str">
        <f t="shared" si="0"/>
        <v/>
      </c>
      <c r="L36" s="3"/>
      <c r="M36" s="3"/>
      <c r="N36" s="3"/>
      <c r="O36" s="3"/>
      <c r="P36" s="3"/>
      <c r="Q36" s="3"/>
      <c r="R36" s="3"/>
      <c r="S36" s="3"/>
      <c r="T36" s="3"/>
      <c r="U36" s="54"/>
      <c r="V36" s="3"/>
      <c r="W36" s="3"/>
      <c r="X36" s="3"/>
      <c r="Y36" s="3"/>
      <c r="Z36" s="3"/>
      <c r="AA36" s="55"/>
      <c r="AB36" s="55"/>
      <c r="AC36" s="55"/>
      <c r="AD36" s="55"/>
      <c r="AE36" s="55"/>
      <c r="AF36" s="56">
        <v>0</v>
      </c>
    </row>
    <row r="37" spans="1:32" s="56" customFormat="1" ht="0.75" customHeight="1">
      <c r="A37" s="46"/>
      <c r="B37" s="47"/>
      <c r="C37" s="8"/>
      <c r="D37" s="48"/>
      <c r="E37" s="57"/>
      <c r="F37" s="58"/>
      <c r="G37" s="51"/>
      <c r="H37" s="59"/>
      <c r="I37" s="59"/>
      <c r="J37" s="53"/>
      <c r="K37" s="3" t="str">
        <f t="shared" si="0"/>
        <v/>
      </c>
      <c r="L37" s="3"/>
      <c r="M37" s="3"/>
      <c r="N37" s="3"/>
      <c r="O37" s="3"/>
      <c r="P37" s="3"/>
      <c r="Q37" s="3"/>
      <c r="R37" s="3"/>
      <c r="S37" s="3"/>
      <c r="T37" s="3"/>
      <c r="U37" s="54"/>
      <c r="V37" s="3"/>
      <c r="W37" s="3"/>
      <c r="X37" s="3"/>
      <c r="Y37" s="3"/>
      <c r="Z37" s="3"/>
      <c r="AA37" s="55"/>
      <c r="AB37" s="55"/>
      <c r="AC37" s="55"/>
      <c r="AD37" s="55"/>
      <c r="AE37" s="55"/>
      <c r="AF37" s="56">
        <v>0</v>
      </c>
    </row>
    <row r="38" spans="1:32" s="56" customFormat="1" ht="0.75" customHeight="1">
      <c r="A38" s="46"/>
      <c r="B38" s="47"/>
      <c r="C38" s="8"/>
      <c r="D38" s="48"/>
      <c r="E38" s="57"/>
      <c r="F38" s="58"/>
      <c r="G38" s="51"/>
      <c r="H38" s="59"/>
      <c r="I38" s="59"/>
      <c r="J38" s="53"/>
      <c r="K38" s="3" t="str">
        <f t="shared" si="0"/>
        <v/>
      </c>
      <c r="L38" s="3"/>
      <c r="M38" s="3"/>
      <c r="N38" s="3"/>
      <c r="O38" s="3"/>
      <c r="P38" s="3"/>
      <c r="Q38" s="3"/>
      <c r="R38" s="3"/>
      <c r="S38" s="3"/>
      <c r="T38" s="3"/>
      <c r="U38" s="54"/>
      <c r="V38" s="3"/>
      <c r="W38" s="3"/>
      <c r="X38" s="3"/>
      <c r="Y38" s="3"/>
      <c r="Z38" s="3"/>
      <c r="AA38" s="55"/>
      <c r="AB38" s="55"/>
      <c r="AC38" s="55"/>
      <c r="AD38" s="55"/>
      <c r="AE38" s="55"/>
      <c r="AF38" s="56">
        <v>0</v>
      </c>
    </row>
    <row r="39" spans="1:32" s="56" customFormat="1" ht="0.75" customHeight="1">
      <c r="A39" s="46"/>
      <c r="B39" s="47"/>
      <c r="C39" s="8"/>
      <c r="D39" s="48"/>
      <c r="E39" s="57"/>
      <c r="F39" s="58"/>
      <c r="G39" s="51"/>
      <c r="H39" s="52"/>
      <c r="I39" s="52"/>
      <c r="J39" s="53"/>
      <c r="K39" s="3" t="str">
        <f t="shared" si="0"/>
        <v/>
      </c>
      <c r="L39" s="3"/>
      <c r="M39" s="3"/>
      <c r="N39" s="3"/>
      <c r="O39" s="3"/>
      <c r="P39" s="3"/>
      <c r="Q39" s="3"/>
      <c r="R39" s="3"/>
      <c r="S39" s="3"/>
      <c r="T39" s="3"/>
      <c r="U39" s="54"/>
      <c r="V39" s="3"/>
      <c r="W39" s="3"/>
      <c r="X39" s="3"/>
      <c r="Y39" s="3"/>
      <c r="Z39" s="3"/>
      <c r="AA39" s="55"/>
      <c r="AB39" s="55"/>
      <c r="AC39" s="55"/>
      <c r="AD39" s="55"/>
      <c r="AE39" s="55"/>
      <c r="AF39" s="56">
        <v>0</v>
      </c>
    </row>
    <row r="40" spans="1:32" s="2" customFormat="1" ht="15" customHeight="1">
      <c r="A40" s="46"/>
      <c r="C40" s="3"/>
      <c r="D40" s="60"/>
      <c r="E40" s="61"/>
      <c r="F40" s="62" t="s">
        <v>31</v>
      </c>
      <c r="G40" s="63"/>
      <c r="H40" s="64"/>
      <c r="I40" s="64"/>
      <c r="J40" s="65"/>
      <c r="K40" s="3" t="str">
        <f t="shared" si="0"/>
        <v/>
      </c>
      <c r="L40" s="3"/>
      <c r="M40" s="3"/>
      <c r="R40" s="3"/>
      <c r="U40" s="5"/>
      <c r="AA40" s="6"/>
      <c r="AB40" s="6"/>
      <c r="AC40" s="6"/>
      <c r="AD40" s="6"/>
      <c r="AE40" s="6"/>
      <c r="AF40" s="2">
        <v>0</v>
      </c>
    </row>
    <row r="41" spans="1:32" ht="11.25" hidden="1" customHeight="1">
      <c r="A41" s="46" t="s">
        <v>32</v>
      </c>
      <c r="D41" s="9"/>
      <c r="E41" s="10" t="str">
        <f>FHD_NUM_P_5</f>
        <v/>
      </c>
      <c r="F41" s="45" t="str">
        <f>FHD_P_5</f>
        <v/>
      </c>
      <c r="G41" s="12" t="s">
        <v>8</v>
      </c>
      <c r="H41" s="43"/>
      <c r="I41" s="43"/>
      <c r="J41" s="13" t="str">
        <f>FHD_NOTE_P_5</f>
        <v/>
      </c>
      <c r="K41" s="3" t="str">
        <f t="shared" si="0"/>
        <v/>
      </c>
      <c r="AF41" s="4">
        <v>0</v>
      </c>
    </row>
    <row r="42" spans="1:32" ht="11.25" hidden="1" customHeight="1">
      <c r="A42" s="46"/>
      <c r="D42" s="9"/>
      <c r="E42" s="10" t="str">
        <f>FHD_NUM_P_6</f>
        <v/>
      </c>
      <c r="F42" s="45" t="str">
        <f>FHD_P_6</f>
        <v/>
      </c>
      <c r="G42" s="12" t="s">
        <v>8</v>
      </c>
      <c r="H42" s="43"/>
      <c r="I42" s="43"/>
      <c r="J42" s="13" t="str">
        <f>FHD_NOTE_P_6</f>
        <v/>
      </c>
      <c r="K42" s="3" t="str">
        <f t="shared" si="0"/>
        <v/>
      </c>
      <c r="AF42" s="4">
        <v>0</v>
      </c>
    </row>
    <row r="43" spans="1:32" ht="11.25" hidden="1" customHeight="1">
      <c r="A43" s="46"/>
      <c r="D43" s="9"/>
      <c r="E43" s="10" t="str">
        <f>FHD_NUM_P_7</f>
        <v/>
      </c>
      <c r="F43" s="45" t="str">
        <f>FHD_P_7</f>
        <v/>
      </c>
      <c r="G43" s="12" t="s">
        <v>8</v>
      </c>
      <c r="H43" s="43"/>
      <c r="I43" s="43"/>
      <c r="J43" s="13" t="str">
        <f>FHD_NOTE_P_7</f>
        <v/>
      </c>
      <c r="K43" s="3" t="str">
        <f t="shared" si="0"/>
        <v/>
      </c>
      <c r="AF43" s="4">
        <v>0</v>
      </c>
    </row>
    <row r="44" spans="1:32" ht="25.5" customHeight="1">
      <c r="D44" s="9"/>
      <c r="E44" s="10" t="str">
        <f>FHD_NUM_P_8</f>
        <v>2.3</v>
      </c>
      <c r="F44" s="45" t="str">
        <f>FHD_P_8</f>
        <v>Расходы на приобретаемую электрическую энергию (мощность), используемую в технологическом процессе</v>
      </c>
      <c r="G44" s="12" t="s">
        <v>8</v>
      </c>
      <c r="H44" s="43"/>
      <c r="I44" s="43">
        <v>1019.33</v>
      </c>
      <c r="J44" s="13" t="str">
        <f>FHD_NOTE_P_8</f>
        <v/>
      </c>
      <c r="K44" s="3" t="str">
        <f t="shared" si="0"/>
        <v>p</v>
      </c>
      <c r="AF44" s="4">
        <v>11</v>
      </c>
    </row>
    <row r="45" spans="1:32" ht="11.55" customHeight="1">
      <c r="D45" s="9"/>
      <c r="E45" s="10" t="str">
        <f>FHD_NUM_P_9</f>
        <v>2.3.1</v>
      </c>
      <c r="F45" s="66" t="str">
        <f>FHD_P_9</f>
        <v>Средневзвешенная стоимость 1 кВт.ч (с учетом мощности)</v>
      </c>
      <c r="G45" s="12" t="s">
        <v>33</v>
      </c>
      <c r="H45" s="43"/>
      <c r="I45" s="43">
        <v>5.5310300000000003</v>
      </c>
      <c r="J45" s="13" t="str">
        <f>FHD_NOTE_P_9</f>
        <v/>
      </c>
      <c r="K45" s="3" t="str">
        <f t="shared" si="0"/>
        <v/>
      </c>
      <c r="AF45" s="4">
        <v>11</v>
      </c>
    </row>
    <row r="46" spans="1:32" s="2" customFormat="1" ht="11.55" customHeight="1">
      <c r="A46" s="1"/>
      <c r="C46" s="3"/>
      <c r="D46" s="67"/>
      <c r="E46" s="10" t="str">
        <f>FHD_NUM_P_10</f>
        <v>2.3.2</v>
      </c>
      <c r="F46" s="66" t="str">
        <f>FHD_P_10</f>
        <v>Объём приобретения электрической энергии</v>
      </c>
      <c r="G46" s="12" t="s">
        <v>34</v>
      </c>
      <c r="H46" s="43"/>
      <c r="I46" s="43">
        <f>I44/I45</f>
        <v>184.29297978857463</v>
      </c>
      <c r="J46" s="13" t="str">
        <f>FHD_NOTE_P_10</f>
        <v/>
      </c>
      <c r="K46" s="3" t="str">
        <f t="shared" si="0"/>
        <v/>
      </c>
      <c r="L46" s="3"/>
      <c r="M46" s="3"/>
      <c r="R46" s="3"/>
      <c r="U46" s="5"/>
      <c r="AA46" s="6"/>
      <c r="AB46" s="6"/>
      <c r="AC46" s="6"/>
      <c r="AD46" s="6"/>
      <c r="AE46" s="6"/>
      <c r="AF46" s="2">
        <v>11</v>
      </c>
    </row>
    <row r="47" spans="1:32" s="2" customFormat="1" ht="11.25" customHeight="1">
      <c r="A47" s="68" t="s">
        <v>35</v>
      </c>
      <c r="C47" s="3"/>
      <c r="D47" s="69"/>
      <c r="E47" s="10" t="str">
        <f>FHD_NUM_P_11</f>
        <v>2.4</v>
      </c>
      <c r="F47" s="45" t="str">
        <f>FHD_P_11</f>
        <v>Расходы на приобретение холодной воды, используемой в технологическом процессе</v>
      </c>
      <c r="G47" s="12" t="s">
        <v>8</v>
      </c>
      <c r="H47" s="43"/>
      <c r="I47" s="43">
        <v>0</v>
      </c>
      <c r="J47" s="13" t="str">
        <f>FHD_NOTE_P_11</f>
        <v/>
      </c>
      <c r="K47" s="3" t="str">
        <f t="shared" si="0"/>
        <v>p</v>
      </c>
      <c r="L47" s="3"/>
      <c r="M47" s="3"/>
      <c r="R47" s="3"/>
      <c r="U47" s="5"/>
      <c r="AA47" s="6"/>
      <c r="AB47" s="6"/>
      <c r="AC47" s="6"/>
      <c r="AD47" s="6"/>
      <c r="AE47" s="6"/>
      <c r="AF47" s="2">
        <v>0</v>
      </c>
    </row>
    <row r="48" spans="1:32" s="2" customFormat="1" ht="18.75" customHeight="1">
      <c r="A48" s="68" t="s">
        <v>36</v>
      </c>
      <c r="C48" s="3"/>
      <c r="D48" s="9"/>
      <c r="E48" s="10" t="str">
        <f>FHD_NUM_P_12</f>
        <v>2.5</v>
      </c>
      <c r="F48" s="45" t="str">
        <f>FHD_P_12</f>
        <v>Расходы на  химические реагенты, используемые в технологическом процессе</v>
      </c>
      <c r="G48" s="12" t="s">
        <v>8</v>
      </c>
      <c r="H48" s="70"/>
      <c r="I48" s="70">
        <v>0</v>
      </c>
      <c r="J48" s="13" t="str">
        <f>FHD_NOTE_P_12</f>
        <v/>
      </c>
      <c r="K48" s="3" t="str">
        <f t="shared" si="0"/>
        <v>p</v>
      </c>
      <c r="L48" s="3"/>
      <c r="M48" s="3"/>
      <c r="R48" s="3"/>
      <c r="U48" s="5"/>
      <c r="AA48" s="6"/>
      <c r="AB48" s="6"/>
      <c r="AC48" s="6"/>
      <c r="AD48" s="6"/>
      <c r="AE48" s="6"/>
      <c r="AF48" s="2">
        <v>18</v>
      </c>
    </row>
    <row r="49" spans="1:32" s="72" customFormat="1" ht="11.55" customHeight="1">
      <c r="A49" s="71"/>
      <c r="C49" s="73"/>
      <c r="D49" s="74"/>
      <c r="E49" s="10" t="str">
        <f>FHD_NUM_P_13</f>
        <v>2.6</v>
      </c>
      <c r="F49" s="45" t="str">
        <f>FHD_P_13</f>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
      <c r="G49" s="12" t="s">
        <v>8</v>
      </c>
      <c r="H49" s="43"/>
      <c r="I49" s="43">
        <f>I50+I51</f>
        <v>532.04503999999997</v>
      </c>
      <c r="J49" s="13" t="str">
        <f>FHD_NOTE_P_13</f>
        <v/>
      </c>
      <c r="K49" s="3" t="str">
        <f t="shared" si="0"/>
        <v>p</v>
      </c>
      <c r="L49" s="73"/>
      <c r="M49" s="73"/>
      <c r="R49" s="73"/>
      <c r="U49" s="75"/>
      <c r="AA49" s="76"/>
      <c r="AB49" s="76"/>
      <c r="AC49" s="76"/>
      <c r="AD49" s="76"/>
      <c r="AE49" s="76"/>
      <c r="AF49" s="72">
        <v>11</v>
      </c>
    </row>
    <row r="50" spans="1:32" s="72" customFormat="1" ht="20.25" customHeight="1">
      <c r="A50" s="71"/>
      <c r="C50" s="73"/>
      <c r="D50" s="74"/>
      <c r="E50" s="10" t="str">
        <f>FHD_NUM_P_14</f>
        <v>2.6.1</v>
      </c>
      <c r="F50" s="66" t="str">
        <f>FHD_P_14</f>
        <v>Расходы на оплату труда основного производственного персонала</v>
      </c>
      <c r="G50" s="12" t="s">
        <v>8</v>
      </c>
      <c r="H50" s="43"/>
      <c r="I50" s="43">
        <v>408.01</v>
      </c>
      <c r="J50" s="13" t="str">
        <f>FHD_NOTE_P_14</f>
        <v/>
      </c>
      <c r="K50" s="3" t="str">
        <f t="shared" si="0"/>
        <v/>
      </c>
      <c r="L50" s="73"/>
      <c r="M50" s="73"/>
      <c r="R50" s="73"/>
      <c r="U50" s="75"/>
      <c r="AA50" s="76"/>
      <c r="AB50" s="76"/>
      <c r="AC50" s="76"/>
      <c r="AD50" s="76"/>
      <c r="AE50" s="76"/>
      <c r="AF50" s="72">
        <v>11</v>
      </c>
    </row>
    <row r="51" spans="1:32" s="72" customFormat="1" ht="11.55" customHeight="1">
      <c r="A51" s="71"/>
      <c r="C51" s="73"/>
      <c r="D51" s="74"/>
      <c r="E51" s="10" t="str">
        <f>FHD_NUM_P_15</f>
        <v>2.6.2</v>
      </c>
      <c r="F51" s="66" t="str">
        <f>FHD_P_15</f>
        <v>Страховые взносы на обязательное социальное страхование, выплачиваемые из фонда оплаты труда основного производственного персонала</v>
      </c>
      <c r="G51" s="12" t="s">
        <v>8</v>
      </c>
      <c r="H51" s="43"/>
      <c r="I51" s="43">
        <f>I50*0.304</f>
        <v>124.03504</v>
      </c>
      <c r="J51" s="13" t="str">
        <f>FHD_NOTE_P_15</f>
        <v/>
      </c>
      <c r="K51" s="3" t="str">
        <f t="shared" si="0"/>
        <v/>
      </c>
      <c r="L51" s="73"/>
      <c r="M51" s="73"/>
      <c r="R51" s="73"/>
      <c r="U51" s="75"/>
      <c r="AA51" s="76"/>
      <c r="AB51" s="76"/>
      <c r="AC51" s="76"/>
      <c r="AD51" s="76"/>
      <c r="AE51" s="76"/>
      <c r="AF51" s="72">
        <v>11</v>
      </c>
    </row>
    <row r="52" spans="1:32" s="2" customFormat="1" ht="30" customHeight="1">
      <c r="A52" s="1"/>
      <c r="C52" s="3"/>
      <c r="D52" s="9"/>
      <c r="E52" s="10" t="str">
        <f>FHD_NUM_P_16</f>
        <v>2.7</v>
      </c>
      <c r="F52" s="45" t="str">
        <f>FHD_P_16</f>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
      <c r="G52" s="12" t="s">
        <v>8</v>
      </c>
      <c r="H52" s="43"/>
      <c r="I52" s="43">
        <f>I53+I54</f>
        <v>302.44975999999997</v>
      </c>
      <c r="J52" s="13" t="str">
        <f>FHD_NOTE_P_16</f>
        <v/>
      </c>
      <c r="K52" s="3" t="str">
        <f t="shared" si="0"/>
        <v>p</v>
      </c>
      <c r="L52" s="3"/>
      <c r="M52" s="3"/>
      <c r="R52" s="3"/>
      <c r="U52" s="5"/>
      <c r="AA52" s="6"/>
      <c r="AB52" s="6"/>
      <c r="AC52" s="6"/>
      <c r="AD52" s="6"/>
      <c r="AE52" s="6"/>
      <c r="AF52" s="2">
        <v>11</v>
      </c>
    </row>
    <row r="53" spans="1:32" s="2" customFormat="1" ht="25.5" customHeight="1">
      <c r="A53" s="1"/>
      <c r="C53" s="3"/>
      <c r="D53" s="9"/>
      <c r="E53" s="10" t="str">
        <f>FHD_NUM_P_17</f>
        <v>2.7.1</v>
      </c>
      <c r="F53" s="66" t="str">
        <f>FHD_P_17</f>
        <v>Расходы на оплату труда административно-управленческого персонала</v>
      </c>
      <c r="G53" s="12" t="s">
        <v>8</v>
      </c>
      <c r="H53" s="43"/>
      <c r="I53" s="43">
        <v>231.94</v>
      </c>
      <c r="J53" s="13" t="str">
        <f>FHD_NOTE_P_17</f>
        <v/>
      </c>
      <c r="K53" s="3" t="str">
        <f t="shared" si="0"/>
        <v/>
      </c>
      <c r="L53" s="3"/>
      <c r="M53" s="3"/>
      <c r="R53" s="3"/>
      <c r="U53" s="5"/>
      <c r="AA53" s="6"/>
      <c r="AB53" s="6"/>
      <c r="AC53" s="6"/>
      <c r="AD53" s="6"/>
      <c r="AE53" s="6"/>
      <c r="AF53" s="2">
        <v>11</v>
      </c>
    </row>
    <row r="54" spans="1:32" s="2" customFormat="1" ht="11.55" customHeight="1">
      <c r="A54" s="1"/>
      <c r="C54" s="3"/>
      <c r="D54" s="9"/>
      <c r="E54" s="10" t="str">
        <f>FHD_NUM_P_18</f>
        <v>2.7.2</v>
      </c>
      <c r="F54" s="66" t="str">
        <f>FHD_P_18</f>
        <v>Страховые взносы на обязательное социальное страхование, выплачиваемые из фонда оплаты труда административно-управленческого персонала</v>
      </c>
      <c r="G54" s="12" t="s">
        <v>8</v>
      </c>
      <c r="H54" s="43"/>
      <c r="I54" s="43">
        <f>I53*0.304</f>
        <v>70.50976</v>
      </c>
      <c r="J54" s="13" t="str">
        <f>FHD_NOTE_P_18</f>
        <v/>
      </c>
      <c r="K54" s="3" t="str">
        <f t="shared" si="0"/>
        <v/>
      </c>
      <c r="L54" s="3"/>
      <c r="M54" s="3"/>
      <c r="R54" s="3"/>
      <c r="U54" s="5"/>
      <c r="AA54" s="6"/>
      <c r="AB54" s="6"/>
      <c r="AC54" s="6"/>
      <c r="AD54" s="6"/>
      <c r="AE54" s="6"/>
      <c r="AF54" s="2">
        <v>11</v>
      </c>
    </row>
    <row r="55" spans="1:32" s="2" customFormat="1" ht="11.55" customHeight="1">
      <c r="A55" s="1"/>
      <c r="C55" s="3"/>
      <c r="D55" s="69"/>
      <c r="E55" s="10" t="str">
        <f>FHD_NUM_P_19</f>
        <v>2.8</v>
      </c>
      <c r="F55" s="45" t="str">
        <f>FHD_P_19</f>
        <v>Расходы на амортизацию основных средств и нематериальных активов</v>
      </c>
      <c r="G55" s="12" t="s">
        <v>8</v>
      </c>
      <c r="H55" s="43"/>
      <c r="I55" s="43">
        <v>0</v>
      </c>
      <c r="J55" s="13" t="str">
        <f>FHD_NOTE_P_19</f>
        <v/>
      </c>
      <c r="K55" s="3" t="str">
        <f t="shared" si="0"/>
        <v>p</v>
      </c>
      <c r="L55" s="3"/>
      <c r="M55" s="3"/>
      <c r="R55" s="3"/>
      <c r="U55" s="5"/>
      <c r="AA55" s="6"/>
      <c r="AB55" s="6"/>
      <c r="AC55" s="6"/>
      <c r="AD55" s="6"/>
      <c r="AE55" s="6"/>
      <c r="AF55" s="2">
        <v>11</v>
      </c>
    </row>
    <row r="56" spans="1:32" s="2" customFormat="1" ht="11.55" customHeight="1">
      <c r="A56" s="1"/>
      <c r="C56" s="3"/>
      <c r="D56" s="69"/>
      <c r="E56" s="10" t="str">
        <f>FHD_NUM_P_20</f>
        <v>2.8.1</v>
      </c>
      <c r="F56" s="66" t="str">
        <f>FHD_P_20</f>
        <v>Расходы на амортизацию основных средств</v>
      </c>
      <c r="G56" s="12" t="s">
        <v>8</v>
      </c>
      <c r="H56" s="43"/>
      <c r="I56" s="43">
        <v>0</v>
      </c>
      <c r="J56" s="13" t="str">
        <f>FHD_NOTE_P_20</f>
        <v/>
      </c>
      <c r="K56" s="3" t="str">
        <f t="shared" si="0"/>
        <v/>
      </c>
      <c r="L56" s="3"/>
      <c r="M56" s="3"/>
      <c r="R56" s="3"/>
      <c r="U56" s="5"/>
      <c r="AA56" s="6"/>
      <c r="AB56" s="6"/>
      <c r="AC56" s="6"/>
      <c r="AD56" s="6"/>
      <c r="AE56" s="6"/>
      <c r="AF56" s="2">
        <v>11</v>
      </c>
    </row>
    <row r="57" spans="1:32" s="2" customFormat="1" ht="11.55" customHeight="1">
      <c r="A57" s="1"/>
      <c r="C57" s="3"/>
      <c r="D57" s="69"/>
      <c r="E57" s="10" t="str">
        <f>FHD_NUM_P_21</f>
        <v>2.8.2</v>
      </c>
      <c r="F57" s="66" t="str">
        <f>FHD_P_21</f>
        <v>Расходы на амортизацию нематериальных активов</v>
      </c>
      <c r="G57" s="12" t="s">
        <v>8</v>
      </c>
      <c r="H57" s="43"/>
      <c r="I57" s="43">
        <v>0</v>
      </c>
      <c r="J57" s="13" t="str">
        <f>FHD_NOTE_P_21</f>
        <v/>
      </c>
      <c r="K57" s="3" t="str">
        <f t="shared" si="0"/>
        <v/>
      </c>
      <c r="L57" s="3"/>
      <c r="M57" s="3"/>
      <c r="R57" s="3"/>
      <c r="U57" s="5"/>
      <c r="AA57" s="6"/>
      <c r="AB57" s="6"/>
      <c r="AC57" s="6"/>
      <c r="AD57" s="6"/>
      <c r="AE57" s="6"/>
      <c r="AF57" s="2">
        <v>11</v>
      </c>
    </row>
    <row r="58" spans="1:32" s="2" customFormat="1" ht="11.55" customHeight="1">
      <c r="A58" s="1"/>
      <c r="C58" s="3"/>
      <c r="D58" s="9"/>
      <c r="E58" s="10" t="str">
        <f>FHD_NUM_P_22</f>
        <v>2.9</v>
      </c>
      <c r="F58" s="45" t="str">
        <f>FHD_P_22</f>
        <v>Расходы на аренду имущества, используемого для осуществления регулируемого вида деятельности</v>
      </c>
      <c r="G58" s="12" t="s">
        <v>8</v>
      </c>
      <c r="H58" s="43"/>
      <c r="I58" s="43">
        <v>0</v>
      </c>
      <c r="J58" s="13" t="str">
        <f>FHD_NOTE_P_22</f>
        <v/>
      </c>
      <c r="K58" s="3" t="str">
        <f t="shared" si="0"/>
        <v>p</v>
      </c>
      <c r="L58" s="3"/>
      <c r="M58" s="3"/>
      <c r="R58" s="3"/>
      <c r="U58" s="5"/>
      <c r="AA58" s="6"/>
      <c r="AB58" s="6"/>
      <c r="AC58" s="6"/>
      <c r="AD58" s="6"/>
      <c r="AE58" s="6"/>
      <c r="AF58" s="2">
        <v>11</v>
      </c>
    </row>
    <row r="59" spans="1:32" s="2" customFormat="1" ht="11.55" customHeight="1">
      <c r="A59" s="1"/>
      <c r="C59" s="3"/>
      <c r="D59" s="69"/>
      <c r="E59" s="10" t="str">
        <f>FHD_NUM_P_23</f>
        <v>2.10</v>
      </c>
      <c r="F59" s="45" t="str">
        <f>FHD_P_23</f>
        <v>Общепроизводственные расходы, в том числе:</v>
      </c>
      <c r="G59" s="12" t="s">
        <v>8</v>
      </c>
      <c r="H59" s="43"/>
      <c r="I59" s="43">
        <v>0</v>
      </c>
      <c r="J59" s="13" t="str">
        <f>FHD_NOTE_P_23</f>
        <v>Указывается общая сумма общепроизводственных расходов.</v>
      </c>
      <c r="K59" s="3" t="str">
        <f t="shared" si="0"/>
        <v>p</v>
      </c>
      <c r="L59" s="3"/>
      <c r="M59" s="3"/>
      <c r="R59" s="3"/>
      <c r="U59" s="5"/>
      <c r="AA59" s="6"/>
      <c r="AB59" s="6"/>
      <c r="AC59" s="6"/>
      <c r="AD59" s="6"/>
      <c r="AE59" s="6"/>
      <c r="AF59" s="2">
        <v>11</v>
      </c>
    </row>
    <row r="60" spans="1:32" s="2" customFormat="1" ht="11.55" customHeight="1">
      <c r="A60" s="1"/>
      <c r="C60" s="3"/>
      <c r="D60" s="69"/>
      <c r="E60" s="10" t="str">
        <f>FHD_NUM_P_24</f>
        <v>2.10.1</v>
      </c>
      <c r="F60" s="66" t="str">
        <f>FHD_P_24</f>
        <v>Расходы на текущий ремонт</v>
      </c>
      <c r="G60" s="12" t="s">
        <v>8</v>
      </c>
      <c r="H60" s="43"/>
      <c r="I60" s="43">
        <v>0</v>
      </c>
      <c r="J60" s="13" t="str">
        <f>FHD_NOTE_P_24</f>
        <v>Указываются расходы на текущий ремонт, отнесенные к общепроизводственным расходам.</v>
      </c>
      <c r="K60" s="3" t="str">
        <f t="shared" si="0"/>
        <v/>
      </c>
      <c r="L60" s="3"/>
      <c r="M60" s="3"/>
      <c r="R60" s="3"/>
      <c r="U60" s="5"/>
      <c r="AA60" s="6"/>
      <c r="AB60" s="6"/>
      <c r="AC60" s="6"/>
      <c r="AD60" s="6"/>
      <c r="AE60" s="6"/>
      <c r="AF60" s="2">
        <v>11</v>
      </c>
    </row>
    <row r="61" spans="1:32" s="2" customFormat="1" ht="11.55" customHeight="1">
      <c r="A61" s="1"/>
      <c r="C61" s="3"/>
      <c r="D61" s="69"/>
      <c r="E61" s="10" t="str">
        <f>FHD_NUM_P_25</f>
        <v>2.10.2</v>
      </c>
      <c r="F61" s="66" t="str">
        <f>FHD_P_25</f>
        <v>Расходы на капитальный ремонт</v>
      </c>
      <c r="G61" s="12" t="s">
        <v>8</v>
      </c>
      <c r="H61" s="43"/>
      <c r="I61" s="43">
        <v>0</v>
      </c>
      <c r="J61" s="13" t="str">
        <f>FHD_NOTE_P_25</f>
        <v>Указываются расходы на капитальный ремонт, отнесенные к общепроизводственным расходам.</v>
      </c>
      <c r="K61" s="3" t="str">
        <f t="shared" si="0"/>
        <v/>
      </c>
      <c r="L61" s="3"/>
      <c r="M61" s="3"/>
      <c r="R61" s="3"/>
      <c r="U61" s="5"/>
      <c r="AA61" s="6"/>
      <c r="AB61" s="6"/>
      <c r="AC61" s="6"/>
      <c r="AD61" s="6"/>
      <c r="AE61" s="6"/>
      <c r="AF61" s="2">
        <v>11</v>
      </c>
    </row>
    <row r="62" spans="1:32" s="2" customFormat="1" ht="11.55" customHeight="1">
      <c r="A62" s="1"/>
      <c r="C62" s="3"/>
      <c r="D62" s="9"/>
      <c r="E62" s="10" t="str">
        <f>FHD_NUM_P_26</f>
        <v>2.11</v>
      </c>
      <c r="F62" s="45" t="str">
        <f>FHD_P_26</f>
        <v>Общехозяйственные расходы, в том числе:</v>
      </c>
      <c r="G62" s="12" t="s">
        <v>8</v>
      </c>
      <c r="H62" s="43"/>
      <c r="I62" s="43">
        <v>0</v>
      </c>
      <c r="J62" s="13" t="str">
        <f>FHD_NOTE_P_26</f>
        <v>Указывается общая сумма общехозяйственных расходов.</v>
      </c>
      <c r="K62" s="3" t="str">
        <f t="shared" si="0"/>
        <v>p</v>
      </c>
      <c r="L62" s="3"/>
      <c r="M62" s="3"/>
      <c r="R62" s="3"/>
      <c r="U62" s="5"/>
      <c r="AA62" s="6"/>
      <c r="AB62" s="6"/>
      <c r="AC62" s="6"/>
      <c r="AD62" s="6"/>
      <c r="AE62" s="6"/>
      <c r="AF62" s="2">
        <v>11</v>
      </c>
    </row>
    <row r="63" spans="1:32" s="2" customFormat="1" ht="11.55" customHeight="1">
      <c r="A63" s="1"/>
      <c r="C63" s="3"/>
      <c r="D63" s="9"/>
      <c r="E63" s="10" t="str">
        <f>FHD_NUM_P_27</f>
        <v>2.11.1</v>
      </c>
      <c r="F63" s="66" t="str">
        <f>FHD_P_27</f>
        <v>Расходы на текущий ремонт</v>
      </c>
      <c r="G63" s="12" t="s">
        <v>8</v>
      </c>
      <c r="H63" s="43"/>
      <c r="I63" s="43">
        <v>0</v>
      </c>
      <c r="J63" s="13" t="str">
        <f>FHD_NOTE_P_27</f>
        <v>Указываются расходы на текущий ремонт, отнесенные к общехозяйственным расходам.</v>
      </c>
      <c r="K63" s="3" t="str">
        <f t="shared" si="0"/>
        <v/>
      </c>
      <c r="L63" s="3"/>
      <c r="M63" s="3"/>
      <c r="R63" s="3"/>
      <c r="U63" s="5"/>
      <c r="AA63" s="6"/>
      <c r="AB63" s="6"/>
      <c r="AC63" s="6"/>
      <c r="AD63" s="6"/>
      <c r="AE63" s="6"/>
      <c r="AF63" s="2">
        <v>11</v>
      </c>
    </row>
    <row r="64" spans="1:32" s="2" customFormat="1" ht="11.55" customHeight="1">
      <c r="A64" s="1"/>
      <c r="C64" s="3"/>
      <c r="D64" s="9"/>
      <c r="E64" s="10" t="str">
        <f>FHD_NUM_P_28</f>
        <v>2.11.2</v>
      </c>
      <c r="F64" s="66" t="str">
        <f>FHD_P_28</f>
        <v>Расходы на капитальный ремонт</v>
      </c>
      <c r="G64" s="12" t="s">
        <v>8</v>
      </c>
      <c r="H64" s="43"/>
      <c r="I64" s="43">
        <v>0</v>
      </c>
      <c r="J64" s="13" t="str">
        <f>FHD_NOTE_P_28</f>
        <v>Указываются расходы на капитальный ремонт, отнесенные к общехозяйственным расходам.</v>
      </c>
      <c r="K64" s="3" t="str">
        <f t="shared" si="0"/>
        <v/>
      </c>
      <c r="L64" s="3"/>
      <c r="M64" s="3"/>
      <c r="R64" s="3"/>
      <c r="U64" s="5"/>
      <c r="AA64" s="6"/>
      <c r="AB64" s="6"/>
      <c r="AC64" s="6"/>
      <c r="AD64" s="6"/>
      <c r="AE64" s="6"/>
      <c r="AF64" s="2">
        <v>11</v>
      </c>
    </row>
    <row r="65" spans="1:32" s="2" customFormat="1" ht="11.55" customHeight="1">
      <c r="A65" s="1"/>
      <c r="C65" s="3"/>
      <c r="D65" s="9"/>
      <c r="E65" s="10" t="str">
        <f>FHD_NUM_P_29</f>
        <v>2.12</v>
      </c>
      <c r="F65" s="45" t="str">
        <f>FHD_P_29</f>
        <v>Расходы на капитальный и текущий ремонт основных средств</v>
      </c>
      <c r="G65" s="12" t="s">
        <v>8</v>
      </c>
      <c r="H65" s="43"/>
      <c r="I65" s="43">
        <v>0</v>
      </c>
      <c r="J65" s="13" t="str">
        <f>FHD_NOTE_P_29</f>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
      <c r="K65" s="3" t="str">
        <f t="shared" si="0"/>
        <v>p</v>
      </c>
      <c r="L65" s="3"/>
      <c r="M65" s="3"/>
      <c r="R65" s="3"/>
      <c r="U65" s="5"/>
      <c r="AA65" s="6"/>
      <c r="AB65" s="6"/>
      <c r="AC65" s="6"/>
      <c r="AD65" s="6"/>
      <c r="AE65" s="6"/>
      <c r="AF65" s="2">
        <v>11</v>
      </c>
    </row>
    <row r="66" spans="1:32" s="2" customFormat="1" ht="11.55" customHeight="1">
      <c r="A66" s="1"/>
      <c r="C66" s="3"/>
      <c r="D66" s="9"/>
      <c r="E66" s="10" t="str">
        <f>FHD_NUM_P_30</f>
        <v>2.12.1</v>
      </c>
      <c r="F66" s="66" t="str">
        <f>FHD_P_30</f>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
      <c r="G66" s="12" t="s">
        <v>37</v>
      </c>
      <c r="H66" s="77" t="s">
        <v>38</v>
      </c>
      <c r="I66" s="77" t="s">
        <v>38</v>
      </c>
      <c r="J66" s="13" t="str">
        <f>FHD_NOTE_P_30</f>
        <v/>
      </c>
      <c r="K66" s="3" t="str">
        <f t="shared" si="0"/>
        <v/>
      </c>
      <c r="L66" s="3">
        <f>IFERROR(MATCH("есть",B_FHD_FLAG_INDEX_1,0),0)</f>
        <v>0</v>
      </c>
      <c r="M66" s="3"/>
      <c r="R66" s="3"/>
      <c r="U66" s="5"/>
      <c r="AA66" s="6"/>
      <c r="AB66" s="6"/>
      <c r="AC66" s="6"/>
      <c r="AD66" s="6"/>
      <c r="AE66" s="6"/>
      <c r="AF66" s="2">
        <v>11</v>
      </c>
    </row>
    <row r="67" spans="1:32" s="2" customFormat="1" ht="23.25" hidden="1" customHeight="1">
      <c r="A67" s="46" t="s">
        <v>39</v>
      </c>
      <c r="C67" s="3"/>
      <c r="D67" s="9"/>
      <c r="E67" s="10" t="str">
        <f>FHD_NUM_P_31</f>
        <v/>
      </c>
      <c r="F67" s="45" t="str">
        <f>FHD_P_31</f>
        <v/>
      </c>
      <c r="G67" s="12" t="s">
        <v>8</v>
      </c>
      <c r="H67" s="43"/>
      <c r="I67" s="43"/>
      <c r="J67" s="13" t="str">
        <f>FHD_NOTE_P_31</f>
        <v/>
      </c>
      <c r="K67" s="3" t="str">
        <f t="shared" si="0"/>
        <v/>
      </c>
      <c r="L67" s="3"/>
      <c r="M67" s="3"/>
      <c r="R67" s="3"/>
      <c r="U67" s="5"/>
      <c r="AA67" s="6"/>
      <c r="AB67" s="6"/>
      <c r="AC67" s="6"/>
      <c r="AD67" s="6"/>
      <c r="AE67" s="6"/>
      <c r="AF67" s="2">
        <v>22</v>
      </c>
    </row>
    <row r="68" spans="1:32" s="2" customFormat="1" ht="47.25" hidden="1" customHeight="1">
      <c r="A68" s="46"/>
      <c r="C68" s="3"/>
      <c r="D68" s="9"/>
      <c r="E68" s="10" t="str">
        <f>FHD_NUM_P_32</f>
        <v/>
      </c>
      <c r="F68" s="66" t="str">
        <f>FHD_P_32</f>
        <v/>
      </c>
      <c r="G68" s="12" t="s">
        <v>37</v>
      </c>
      <c r="H68" s="77" t="s">
        <v>38</v>
      </c>
      <c r="I68" s="77" t="s">
        <v>38</v>
      </c>
      <c r="J68" s="13" t="str">
        <f>FHD_NOTE_P_32</f>
        <v/>
      </c>
      <c r="K68" s="3" t="str">
        <f t="shared" si="0"/>
        <v/>
      </c>
      <c r="L68" s="3">
        <f>IFERROR(MATCH("есть",B_FHD_FLAG_INDEX_2,0),0)</f>
        <v>0</v>
      </c>
      <c r="M68" s="3"/>
      <c r="R68" s="3"/>
      <c r="U68" s="5"/>
      <c r="AA68" s="6"/>
      <c r="AB68" s="6"/>
      <c r="AC68" s="6"/>
      <c r="AD68" s="6"/>
      <c r="AE68" s="6"/>
      <c r="AF68" s="2">
        <v>45</v>
      </c>
    </row>
    <row r="69" spans="1:32" s="2" customFormat="1" ht="11.55" customHeight="1">
      <c r="A69" s="1"/>
      <c r="C69" s="3"/>
      <c r="D69" s="9"/>
      <c r="E69" s="10" t="str">
        <f>FHD_NUM_P_33</f>
        <v>2.13</v>
      </c>
      <c r="F69" s="45" t="str">
        <f>FHD_P_33</f>
        <v>Прочие расходы, которые подлежат отнесению на регулируемые виды деятельности в соответствии с законодательством Российской Федерации</v>
      </c>
      <c r="G69" s="78" t="s">
        <v>8</v>
      </c>
      <c r="H69" s="79">
        <f>SUM(H70:H71)</f>
        <v>0</v>
      </c>
      <c r="I69" s="79">
        <f>SUM(I70:I71)</f>
        <v>0</v>
      </c>
      <c r="J69" s="13" t="str">
        <f>FHD_NOTE_P_33</f>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
      <c r="K69" s="3" t="str">
        <f t="shared" si="0"/>
        <v>p</v>
      </c>
      <c r="L69" s="3"/>
      <c r="M69" s="3"/>
      <c r="R69" s="3"/>
      <c r="U69" s="5"/>
      <c r="AA69" s="6"/>
      <c r="AB69" s="6"/>
      <c r="AC69" s="6"/>
      <c r="AD69" s="6"/>
      <c r="AE69" s="6"/>
      <c r="AF69" s="2">
        <v>11</v>
      </c>
    </row>
    <row r="70" spans="1:32" s="3" customFormat="1" ht="1.05" customHeight="1">
      <c r="A70" s="8"/>
      <c r="D70" s="8"/>
      <c r="E70" s="17" t="str">
        <f>E69&amp;".0"</f>
        <v>2.13.0</v>
      </c>
      <c r="F70" s="80"/>
      <c r="G70" s="17"/>
      <c r="H70" s="81"/>
      <c r="I70" s="81"/>
      <c r="J70" s="82"/>
      <c r="K70" s="3" t="str">
        <f t="shared" si="0"/>
        <v/>
      </c>
      <c r="AF70" s="3">
        <v>1</v>
      </c>
    </row>
    <row r="71" spans="1:32" s="2" customFormat="1" ht="14.7" customHeight="1">
      <c r="A71" s="1"/>
      <c r="C71" s="3"/>
      <c r="D71" s="60"/>
      <c r="E71" s="61"/>
      <c r="F71" s="62" t="s">
        <v>40</v>
      </c>
      <c r="G71" s="63"/>
      <c r="H71" s="64"/>
      <c r="I71" s="64"/>
      <c r="J71" s="65"/>
      <c r="K71" s="3"/>
      <c r="L71" s="3"/>
      <c r="M71" s="3"/>
      <c r="R71" s="3"/>
      <c r="U71" s="5"/>
      <c r="AA71" s="6"/>
      <c r="AB71" s="6"/>
      <c r="AC71" s="6"/>
      <c r="AD71" s="6"/>
      <c r="AE71" s="6"/>
      <c r="AF71" s="2">
        <v>14</v>
      </c>
    </row>
    <row r="72" spans="1:32" s="2" customFormat="1" ht="18.75" customHeight="1">
      <c r="A72" s="68" t="s">
        <v>41</v>
      </c>
      <c r="C72" s="3"/>
      <c r="D72" s="9"/>
      <c r="E72" s="10" t="str">
        <f>FHD_NUM_P_34</f>
        <v>3</v>
      </c>
      <c r="F72" s="42" t="str">
        <f>FHD_P_34</f>
        <v>Валовая прибыль (убытки) от реализации товаров и оказания услуг по регулируемому виду деятельности</v>
      </c>
      <c r="G72" s="12" t="s">
        <v>8</v>
      </c>
      <c r="H72" s="43"/>
      <c r="I72" s="43">
        <f>I30-I31</f>
        <v>217.91519999999991</v>
      </c>
      <c r="J72" s="13" t="str">
        <f>FHD_NOTE_P_34</f>
        <v/>
      </c>
      <c r="K72" s="14"/>
      <c r="L72" s="3"/>
      <c r="M72" s="3"/>
      <c r="R72" s="3"/>
      <c r="U72" s="5"/>
      <c r="AA72" s="6"/>
      <c r="AB72" s="6"/>
      <c r="AC72" s="6"/>
      <c r="AD72" s="6"/>
      <c r="AE72" s="6"/>
      <c r="AF72" s="2">
        <v>0</v>
      </c>
    </row>
    <row r="73" spans="1:32" s="2" customFormat="1" ht="19.95" customHeight="1">
      <c r="A73" s="1"/>
      <c r="C73" s="3"/>
      <c r="D73" s="69"/>
      <c r="E73" s="10" t="str">
        <f>FHD_NUM_P_35</f>
        <v>4</v>
      </c>
      <c r="F73" s="42" t="str">
        <f>FHD_P_35</f>
        <v>Чистая прибыль, полученная от регулируемого вида деятельности, в том числе:</v>
      </c>
      <c r="G73" s="12" t="s">
        <v>8</v>
      </c>
      <c r="H73" s="43"/>
      <c r="I73" s="43">
        <v>0</v>
      </c>
      <c r="J73" s="13" t="str">
        <f>FHD_NOTE_P_35</f>
        <v>Указывается общая сумма чистой прибыли, полученной от регулируемого вида деятельности.</v>
      </c>
      <c r="K73" s="14"/>
      <c r="L73" s="3"/>
      <c r="M73" s="3"/>
      <c r="R73" s="3"/>
      <c r="U73" s="5"/>
      <c r="AA73" s="6"/>
      <c r="AB73" s="6"/>
      <c r="AC73" s="6"/>
      <c r="AD73" s="6"/>
      <c r="AE73" s="6"/>
      <c r="AF73" s="2">
        <v>19</v>
      </c>
    </row>
    <row r="74" spans="1:32" s="2" customFormat="1" ht="19.95" customHeight="1">
      <c r="A74" s="1"/>
      <c r="C74" s="3"/>
      <c r="D74" s="9"/>
      <c r="E74" s="10" t="str">
        <f>FHD_NUM_P_36</f>
        <v>4.1</v>
      </c>
      <c r="F74" s="45" t="str">
        <f>FHD_P_36</f>
        <v>Размер расходования чистой прибыли на финансирование мероприятий, предусмотренных инвестиционной программой регулируемой организации</v>
      </c>
      <c r="G74" s="12" t="s">
        <v>8</v>
      </c>
      <c r="H74" s="43"/>
      <c r="I74" s="43">
        <v>0</v>
      </c>
      <c r="J74" s="13" t="str">
        <f>FHD_NOTE_P_36</f>
        <v/>
      </c>
      <c r="K74" s="14"/>
      <c r="L74" s="3"/>
      <c r="M74" s="3"/>
      <c r="R74" s="3"/>
      <c r="U74" s="5"/>
      <c r="AA74" s="6"/>
      <c r="AB74" s="6"/>
      <c r="AC74" s="6"/>
      <c r="AD74" s="6"/>
      <c r="AE74" s="6"/>
      <c r="AF74" s="2">
        <v>19</v>
      </c>
    </row>
    <row r="75" spans="1:32" s="2" customFormat="1" ht="19.95" customHeight="1">
      <c r="A75" s="1"/>
      <c r="C75" s="3"/>
      <c r="D75" s="9"/>
      <c r="E75" s="10" t="str">
        <f>FHD_NUM_P_37</f>
        <v>5</v>
      </c>
      <c r="F75" s="42" t="str">
        <f>FHD_P_37</f>
        <v>Изменение стоимости основных фондов, в том числе:</v>
      </c>
      <c r="G75" s="12" t="s">
        <v>8</v>
      </c>
      <c r="H75" s="43"/>
      <c r="I75" s="43">
        <v>0</v>
      </c>
      <c r="J75" s="13" t="str">
        <f>FHD_NOTE_P_37</f>
        <v>Указывается общее изменение стоимости основных фондов.</v>
      </c>
      <c r="K75" s="14"/>
      <c r="L75" s="3"/>
      <c r="M75" s="3"/>
      <c r="R75" s="3"/>
      <c r="U75" s="5"/>
      <c r="AA75" s="6"/>
      <c r="AB75" s="6"/>
      <c r="AC75" s="6"/>
      <c r="AD75" s="6"/>
      <c r="AE75" s="6"/>
      <c r="AF75" s="2">
        <v>19</v>
      </c>
    </row>
    <row r="76" spans="1:32" s="2" customFormat="1" ht="19.95" customHeight="1">
      <c r="A76" s="1"/>
      <c r="C76" s="3"/>
      <c r="D76" s="9"/>
      <c r="E76" s="10" t="str">
        <f>FHD_NUM_P_38</f>
        <v>5.1</v>
      </c>
      <c r="F76" s="45" t="str">
        <f>FHD_P_38</f>
        <v>Изменение стоимости основных фондов за счет:</v>
      </c>
      <c r="G76" s="12" t="s">
        <v>8</v>
      </c>
      <c r="H76" s="43"/>
      <c r="I76" s="43">
        <v>0</v>
      </c>
      <c r="J76" s="13" t="str">
        <f>FHD_NOTE_P_38</f>
        <v>Указываются общее изменение стоимости основных фондов за счет их ввода в эксплуатацию и вывода из эксплуатации.</v>
      </c>
      <c r="K76" s="14"/>
      <c r="L76" s="3"/>
      <c r="M76" s="3"/>
      <c r="R76" s="3"/>
      <c r="U76" s="5"/>
      <c r="AA76" s="6"/>
      <c r="AB76" s="6"/>
      <c r="AC76" s="6"/>
      <c r="AD76" s="6"/>
      <c r="AE76" s="6"/>
      <c r="AF76" s="2">
        <v>19</v>
      </c>
    </row>
    <row r="77" spans="1:32" s="2" customFormat="1" ht="19.95" customHeight="1">
      <c r="A77" s="1"/>
      <c r="C77" s="3"/>
      <c r="D77" s="9"/>
      <c r="E77" s="10" t="str">
        <f>FHD_NUM_P_39</f>
        <v>5.1.1</v>
      </c>
      <c r="F77" s="66" t="str">
        <f>FHD_P_39</f>
        <v>Изменения стоимости основных фондов за счет их ввода в эксплуатацию</v>
      </c>
      <c r="G77" s="78" t="s">
        <v>8</v>
      </c>
      <c r="H77" s="43"/>
      <c r="I77" s="43">
        <v>0</v>
      </c>
      <c r="J77" s="13" t="str">
        <f>FHD_NOTE_P_39</f>
        <v>Указываются изменение стоимости основных фондов за счет их ввода в эксплуатацию.</v>
      </c>
      <c r="K77" s="14"/>
      <c r="L77" s="3"/>
      <c r="M77" s="3"/>
      <c r="R77" s="3"/>
      <c r="U77" s="5"/>
      <c r="AA77" s="6"/>
      <c r="AB77" s="6"/>
      <c r="AC77" s="6"/>
      <c r="AD77" s="6"/>
      <c r="AE77" s="6"/>
      <c r="AF77" s="2">
        <v>19</v>
      </c>
    </row>
    <row r="78" spans="1:32" s="2" customFormat="1" ht="19.95" customHeight="1">
      <c r="A78" s="1"/>
      <c r="C78" s="3"/>
      <c r="D78" s="9"/>
      <c r="E78" s="10" t="str">
        <f>FHD_NUM_P_40</f>
        <v>5.1.2</v>
      </c>
      <c r="F78" s="83" t="str">
        <f>FHD_P_40</f>
        <v>Изменения стоимости основных фондов за счет их вывода в эксплуатацию</v>
      </c>
      <c r="G78" s="12" t="s">
        <v>8</v>
      </c>
      <c r="H78" s="84"/>
      <c r="I78" s="43">
        <v>0</v>
      </c>
      <c r="J78" s="13" t="str">
        <f>FHD_NOTE_P_40</f>
        <v>Указываются изменение стоимости основных фондов за счет их вывода из эксплуатации.</v>
      </c>
      <c r="K78" s="14"/>
      <c r="L78" s="3"/>
      <c r="M78" s="3"/>
      <c r="R78" s="3"/>
      <c r="U78" s="5"/>
      <c r="AA78" s="6"/>
      <c r="AB78" s="6"/>
      <c r="AC78" s="6"/>
      <c r="AD78" s="6"/>
      <c r="AE78" s="6"/>
      <c r="AF78" s="2">
        <v>19</v>
      </c>
    </row>
    <row r="79" spans="1:32" s="2" customFormat="1" ht="19.95" customHeight="1">
      <c r="A79" s="1"/>
      <c r="C79" s="3"/>
      <c r="D79" s="9"/>
      <c r="E79" s="10" t="str">
        <f>FHD_NUM_P_41</f>
        <v>5.2</v>
      </c>
      <c r="F79" s="85" t="str">
        <f>FHD_P_41</f>
        <v>Изменение стоимости основных фондов за счет их переоценки</v>
      </c>
      <c r="G79" s="12" t="s">
        <v>8</v>
      </c>
      <c r="H79" s="84"/>
      <c r="I79" s="43">
        <v>0</v>
      </c>
      <c r="J79" s="13" t="str">
        <f>FHD_NOTE_P_41</f>
        <v/>
      </c>
      <c r="K79" s="14"/>
      <c r="L79" s="3"/>
      <c r="M79" s="3"/>
      <c r="R79" s="3"/>
      <c r="U79" s="5"/>
      <c r="AA79" s="6"/>
      <c r="AB79" s="6"/>
      <c r="AC79" s="6"/>
      <c r="AD79" s="6"/>
      <c r="AE79" s="6"/>
      <c r="AF79" s="2">
        <v>19</v>
      </c>
    </row>
    <row r="80" spans="1:32" s="2" customFormat="1" ht="20.25" hidden="1" customHeight="1">
      <c r="A80" s="68" t="s">
        <v>42</v>
      </c>
      <c r="C80" s="3" t="s">
        <v>43</v>
      </c>
      <c r="D80" s="9"/>
      <c r="E80" s="10" t="str">
        <f>FHD_NUM_P_42</f>
        <v/>
      </c>
      <c r="F80" s="86" t="str">
        <f>FHD_P_42</f>
        <v/>
      </c>
      <c r="G80" s="12" t="s">
        <v>8</v>
      </c>
      <c r="H80" s="84"/>
      <c r="I80" s="43"/>
      <c r="J80" s="13" t="str">
        <f>FHD_NOTE_P_42</f>
        <v/>
      </c>
      <c r="K80" s="14"/>
      <c r="L80" s="3"/>
      <c r="M80" s="3"/>
      <c r="R80" s="3"/>
      <c r="U80" s="5"/>
      <c r="AA80" s="6"/>
      <c r="AB80" s="6"/>
      <c r="AC80" s="6"/>
      <c r="AD80" s="6"/>
      <c r="AE80" s="6"/>
      <c r="AF80" s="2">
        <v>19</v>
      </c>
    </row>
    <row r="81" spans="1:32" s="2" customFormat="1" ht="19.95" customHeight="1">
      <c r="A81" s="1"/>
      <c r="C81" s="3" t="s">
        <v>44</v>
      </c>
      <c r="D81" s="9"/>
      <c r="E81" s="10" t="str">
        <f>FHD_NUM_P_43</f>
        <v>6</v>
      </c>
      <c r="F81" s="42" t="str">
        <f>FHD_P_43</f>
        <v>Годовая бухгалтерская (финансовая) отчетность, включая бухгалтерский баланс и приложения к нему</v>
      </c>
      <c r="G81" s="87" t="s">
        <v>37</v>
      </c>
      <c r="H81" s="88"/>
      <c r="I81" s="89"/>
      <c r="J81" s="13" t="str">
        <f>FHD_NOTE_P_43</f>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
      <c r="K81" s="14"/>
      <c r="L81" s="3"/>
      <c r="M81" s="3"/>
      <c r="R81" s="3"/>
      <c r="U81" s="5"/>
      <c r="AA81" s="6"/>
      <c r="AB81" s="6"/>
      <c r="AC81" s="6"/>
      <c r="AD81" s="6"/>
      <c r="AE81" s="6"/>
      <c r="AF81" s="2">
        <v>19</v>
      </c>
    </row>
    <row r="82" spans="1:32" s="2" customFormat="1" ht="18.75" hidden="1" customHeight="1">
      <c r="A82" s="46" t="s">
        <v>45</v>
      </c>
      <c r="C82" s="3"/>
      <c r="D82" s="9"/>
      <c r="E82" s="10" t="str">
        <f>FHD_NUM_P_44</f>
        <v/>
      </c>
      <c r="F82" s="42" t="str">
        <f>FHD_P_44</f>
        <v/>
      </c>
      <c r="G82" s="12" t="s">
        <v>46</v>
      </c>
      <c r="H82" s="90"/>
      <c r="I82" s="70"/>
      <c r="J82" s="13" t="str">
        <f>FHD_NOTE_P_44</f>
        <v/>
      </c>
      <c r="K82" s="14"/>
      <c r="L82" s="3"/>
      <c r="M82" s="3"/>
      <c r="R82" s="3"/>
      <c r="U82" s="5"/>
      <c r="AA82" s="6"/>
      <c r="AB82" s="6"/>
      <c r="AC82" s="6"/>
      <c r="AD82" s="6"/>
      <c r="AE82" s="6"/>
      <c r="AF82" s="2">
        <v>0</v>
      </c>
    </row>
    <row r="83" spans="1:32" s="2" customFormat="1" ht="18.75" hidden="1" customHeight="1">
      <c r="A83" s="46"/>
      <c r="C83" s="3"/>
      <c r="D83" s="9"/>
      <c r="E83" s="10" t="str">
        <f>FHD_NUM_P_45</f>
        <v/>
      </c>
      <c r="F83" s="42" t="str">
        <f>FHD_P_45</f>
        <v/>
      </c>
      <c r="G83" s="12" t="s">
        <v>46</v>
      </c>
      <c r="H83" s="90"/>
      <c r="I83" s="70"/>
      <c r="J83" s="13" t="str">
        <f>FHD_NOTE_P_45</f>
        <v/>
      </c>
      <c r="K83" s="14"/>
      <c r="L83" s="3"/>
      <c r="M83" s="3"/>
      <c r="R83" s="3"/>
      <c r="U83" s="5"/>
      <c r="AA83" s="6"/>
      <c r="AB83" s="6"/>
      <c r="AC83" s="6"/>
      <c r="AD83" s="6"/>
      <c r="AE83" s="6"/>
      <c r="AF83" s="2">
        <v>0</v>
      </c>
    </row>
    <row r="84" spans="1:32" s="2" customFormat="1" ht="18.75" hidden="1" customHeight="1">
      <c r="A84" s="46"/>
      <c r="C84" s="3"/>
      <c r="D84" s="69"/>
      <c r="E84" s="10" t="str">
        <f>FHD_NUM_P_46</f>
        <v/>
      </c>
      <c r="F84" s="42" t="str">
        <f>FHD_P_46</f>
        <v/>
      </c>
      <c r="G84" s="12" t="s">
        <v>46</v>
      </c>
      <c r="H84" s="90"/>
      <c r="I84" s="70"/>
      <c r="J84" s="13" t="str">
        <f>FHD_NOTE_P_46</f>
        <v/>
      </c>
      <c r="K84" s="14"/>
      <c r="L84" s="3"/>
      <c r="M84" s="3"/>
      <c r="R84" s="3"/>
      <c r="U84" s="5"/>
      <c r="AA84" s="6"/>
      <c r="AB84" s="6"/>
      <c r="AC84" s="6"/>
      <c r="AD84" s="6"/>
      <c r="AE84" s="6"/>
      <c r="AF84" s="2">
        <v>0</v>
      </c>
    </row>
    <row r="85" spans="1:32" s="2" customFormat="1" ht="18.75" hidden="1" customHeight="1">
      <c r="A85" s="46"/>
      <c r="C85" s="3"/>
      <c r="D85" s="9"/>
      <c r="E85" s="10" t="str">
        <f>FHD_NUM_P_47</f>
        <v/>
      </c>
      <c r="F85" s="42" t="str">
        <f>FHD_P_47</f>
        <v/>
      </c>
      <c r="G85" s="12" t="s">
        <v>46</v>
      </c>
      <c r="H85" s="90"/>
      <c r="I85" s="70"/>
      <c r="J85" s="13" t="str">
        <f>FHD_NOTE_P_47</f>
        <v/>
      </c>
      <c r="K85" s="14"/>
      <c r="L85" s="3"/>
      <c r="M85" s="3"/>
      <c r="R85" s="3"/>
      <c r="U85" s="5"/>
      <c r="AA85" s="6"/>
      <c r="AB85" s="6"/>
      <c r="AC85" s="6"/>
      <c r="AD85" s="6"/>
      <c r="AE85" s="6"/>
      <c r="AF85" s="2">
        <v>0</v>
      </c>
    </row>
    <row r="86" spans="1:32" s="4" customFormat="1" ht="18.75" hidden="1" customHeight="1">
      <c r="A86" s="46"/>
      <c r="B86" s="2"/>
      <c r="C86" s="3"/>
      <c r="D86" s="9"/>
      <c r="E86" s="10" t="str">
        <f>FHD_NUM_P_48</f>
        <v/>
      </c>
      <c r="F86" s="42" t="str">
        <f>FHD_P_48</f>
        <v/>
      </c>
      <c r="G86" s="12" t="s">
        <v>46</v>
      </c>
      <c r="H86" s="90"/>
      <c r="I86" s="70"/>
      <c r="J86" s="13" t="str">
        <f>FHD_NOTE_P_48</f>
        <v/>
      </c>
      <c r="K86" s="14"/>
      <c r="L86" s="3"/>
      <c r="M86" s="3"/>
      <c r="N86" s="2"/>
      <c r="O86" s="2"/>
      <c r="P86" s="2"/>
      <c r="Q86" s="2"/>
      <c r="R86" s="3"/>
      <c r="S86" s="2"/>
      <c r="T86" s="2"/>
      <c r="U86" s="5"/>
      <c r="V86" s="2"/>
      <c r="W86" s="2"/>
      <c r="X86" s="2"/>
      <c r="Y86" s="2"/>
      <c r="Z86" s="2"/>
      <c r="AA86" s="6"/>
      <c r="AB86" s="6"/>
      <c r="AC86" s="6"/>
      <c r="AD86" s="6"/>
      <c r="AE86" s="6"/>
      <c r="AF86" s="4">
        <v>0</v>
      </c>
    </row>
    <row r="87" spans="1:32" s="4" customFormat="1" ht="18.75" hidden="1" customHeight="1">
      <c r="A87" s="46"/>
      <c r="B87" s="2"/>
      <c r="C87" s="3"/>
      <c r="D87" s="9"/>
      <c r="E87" s="10" t="str">
        <f>FHD_NUM_P_49</f>
        <v/>
      </c>
      <c r="F87" s="42" t="str">
        <f>FHD_P_49</f>
        <v/>
      </c>
      <c r="G87" s="12" t="s">
        <v>46</v>
      </c>
      <c r="H87" s="91">
        <f>SUM(H88:H89)</f>
        <v>0</v>
      </c>
      <c r="I87" s="92">
        <f>SUM(I88:I89)</f>
        <v>0</v>
      </c>
      <c r="J87" s="13" t="str">
        <f>FHD_NOTE_P_49</f>
        <v/>
      </c>
      <c r="K87" s="14"/>
      <c r="L87" s="3"/>
      <c r="M87" s="3"/>
      <c r="N87" s="2"/>
      <c r="O87" s="2"/>
      <c r="P87" s="2"/>
      <c r="Q87" s="2"/>
      <c r="R87" s="3"/>
      <c r="S87" s="2"/>
      <c r="T87" s="2"/>
      <c r="U87" s="5"/>
      <c r="V87" s="2"/>
      <c r="W87" s="2"/>
      <c r="X87" s="2"/>
      <c r="Y87" s="2"/>
      <c r="Z87" s="2"/>
      <c r="AA87" s="6"/>
      <c r="AB87" s="6"/>
      <c r="AC87" s="6"/>
      <c r="AD87" s="6"/>
      <c r="AE87" s="6"/>
      <c r="AF87" s="4">
        <v>0</v>
      </c>
    </row>
    <row r="88" spans="1:32" s="4" customFormat="1" ht="18.75" hidden="1" customHeight="1">
      <c r="A88" s="46"/>
      <c r="B88" s="2"/>
      <c r="C88" s="3"/>
      <c r="D88" s="9"/>
      <c r="E88" s="10" t="str">
        <f>FHD_NUM_P_50</f>
        <v/>
      </c>
      <c r="F88" s="42" t="str">
        <f>FHD_P_50</f>
        <v/>
      </c>
      <c r="G88" s="12" t="s">
        <v>46</v>
      </c>
      <c r="H88" s="90"/>
      <c r="I88" s="70"/>
      <c r="J88" s="13" t="str">
        <f>FHD_NOTE_P_50</f>
        <v/>
      </c>
      <c r="K88" s="14"/>
      <c r="L88" s="3"/>
      <c r="M88" s="3"/>
      <c r="N88" s="2"/>
      <c r="O88" s="2"/>
      <c r="P88" s="2"/>
      <c r="Q88" s="2"/>
      <c r="R88" s="3"/>
      <c r="S88" s="2"/>
      <c r="T88" s="2"/>
      <c r="U88" s="5"/>
      <c r="V88" s="2"/>
      <c r="W88" s="2"/>
      <c r="X88" s="2"/>
      <c r="Y88" s="2"/>
      <c r="Z88" s="2"/>
      <c r="AA88" s="6"/>
      <c r="AB88" s="6"/>
      <c r="AC88" s="6"/>
      <c r="AD88" s="6"/>
      <c r="AE88" s="6"/>
      <c r="AF88" s="4">
        <v>0</v>
      </c>
    </row>
    <row r="89" spans="1:32" s="4" customFormat="1" ht="18.75" hidden="1" customHeight="1">
      <c r="A89" s="46"/>
      <c r="B89" s="2"/>
      <c r="C89" s="3"/>
      <c r="D89" s="9"/>
      <c r="E89" s="10" t="str">
        <f>FHD_NUM_P_51</f>
        <v/>
      </c>
      <c r="F89" s="42" t="str">
        <f>FHD_P_51</f>
        <v/>
      </c>
      <c r="G89" s="12" t="s">
        <v>46</v>
      </c>
      <c r="H89" s="90"/>
      <c r="I89" s="70"/>
      <c r="J89" s="13" t="str">
        <f>FHD_NOTE_P_51</f>
        <v/>
      </c>
      <c r="K89" s="14"/>
      <c r="L89" s="3"/>
      <c r="M89" s="3"/>
      <c r="N89" s="2"/>
      <c r="O89" s="2"/>
      <c r="P89" s="2"/>
      <c r="Q89" s="2"/>
      <c r="R89" s="3"/>
      <c r="S89" s="2"/>
      <c r="T89" s="2"/>
      <c r="U89" s="5"/>
      <c r="V89" s="2"/>
      <c r="W89" s="2"/>
      <c r="X89" s="2"/>
      <c r="Y89" s="2"/>
      <c r="Z89" s="2"/>
      <c r="AA89" s="6"/>
      <c r="AB89" s="6"/>
      <c r="AC89" s="6"/>
      <c r="AD89" s="6"/>
      <c r="AE89" s="6"/>
      <c r="AF89" s="4">
        <v>0</v>
      </c>
    </row>
    <row r="90" spans="1:32" s="4" customFormat="1" ht="18.75" hidden="1" customHeight="1">
      <c r="A90" s="46"/>
      <c r="B90" s="2"/>
      <c r="C90" s="3"/>
      <c r="D90" s="9"/>
      <c r="E90" s="10" t="str">
        <f>FHD_NUM_P_52</f>
        <v/>
      </c>
      <c r="F90" s="42" t="str">
        <f>FHD_P_52</f>
        <v/>
      </c>
      <c r="G90" s="12" t="s">
        <v>14</v>
      </c>
      <c r="H90" s="84"/>
      <c r="I90" s="43"/>
      <c r="J90" s="13" t="str">
        <f>FHD_NOTE_P_52</f>
        <v/>
      </c>
      <c r="K90" s="14"/>
      <c r="L90" s="3"/>
      <c r="M90" s="3"/>
      <c r="N90" s="2"/>
      <c r="O90" s="2"/>
      <c r="P90" s="2"/>
      <c r="Q90" s="2"/>
      <c r="R90" s="3"/>
      <c r="S90" s="2"/>
      <c r="T90" s="2"/>
      <c r="U90" s="5"/>
      <c r="V90" s="2"/>
      <c r="W90" s="2"/>
      <c r="X90" s="2"/>
      <c r="Y90" s="2"/>
      <c r="Z90" s="2"/>
      <c r="AA90" s="6"/>
      <c r="AB90" s="6"/>
      <c r="AC90" s="6"/>
      <c r="AD90" s="6"/>
      <c r="AE90" s="6"/>
      <c r="AF90" s="4">
        <v>0</v>
      </c>
    </row>
    <row r="91" spans="1:32" s="2" customFormat="1" ht="18.75" hidden="1" customHeight="1">
      <c r="A91" s="46" t="s">
        <v>47</v>
      </c>
      <c r="C91" s="3"/>
      <c r="D91" s="9"/>
      <c r="E91" s="10" t="str">
        <f>FHD_NUM_P_53</f>
        <v/>
      </c>
      <c r="F91" s="42" t="str">
        <f>FHD_P_53</f>
        <v/>
      </c>
      <c r="G91" s="12" t="s">
        <v>46</v>
      </c>
      <c r="H91" s="90"/>
      <c r="I91" s="70"/>
      <c r="J91" s="13" t="str">
        <f>FHD_NOTE_P_53</f>
        <v/>
      </c>
      <c r="K91" s="14"/>
      <c r="L91" s="3"/>
      <c r="M91" s="3"/>
      <c r="R91" s="3"/>
      <c r="U91" s="5"/>
      <c r="AA91" s="6"/>
      <c r="AB91" s="6"/>
      <c r="AC91" s="6"/>
      <c r="AD91" s="6"/>
      <c r="AE91" s="6"/>
      <c r="AF91" s="2">
        <v>0</v>
      </c>
    </row>
    <row r="92" spans="1:32" s="2" customFormat="1" ht="18.75" hidden="1" customHeight="1">
      <c r="A92" s="46"/>
      <c r="C92" s="3"/>
      <c r="D92" s="9"/>
      <c r="E92" s="10" t="str">
        <f>FHD_NUM_P_54</f>
        <v/>
      </c>
      <c r="F92" s="42" t="str">
        <f>FHD_P_54</f>
        <v/>
      </c>
      <c r="G92" s="12" t="s">
        <v>46</v>
      </c>
      <c r="H92" s="90"/>
      <c r="I92" s="70"/>
      <c r="J92" s="13" t="str">
        <f>FHD_NOTE_P_54</f>
        <v/>
      </c>
      <c r="K92" s="14"/>
      <c r="L92" s="3"/>
      <c r="M92" s="3"/>
      <c r="R92" s="3"/>
      <c r="U92" s="5"/>
      <c r="AA92" s="6"/>
      <c r="AB92" s="6"/>
      <c r="AC92" s="6"/>
      <c r="AD92" s="6"/>
      <c r="AE92" s="6"/>
      <c r="AF92" s="2">
        <v>0</v>
      </c>
    </row>
    <row r="93" spans="1:32" s="2" customFormat="1" ht="18.75" hidden="1" customHeight="1">
      <c r="A93" s="46"/>
      <c r="C93" s="3"/>
      <c r="D93" s="69"/>
      <c r="E93" s="10" t="str">
        <f>FHD_NUM_P_55</f>
        <v/>
      </c>
      <c r="F93" s="42" t="str">
        <f>FHD_P_55</f>
        <v/>
      </c>
      <c r="G93" s="93"/>
      <c r="H93" s="90"/>
      <c r="I93" s="70"/>
      <c r="J93" s="13" t="str">
        <f>FHD_NOTE_P_55</f>
        <v/>
      </c>
      <c r="K93" s="14"/>
      <c r="L93" s="3"/>
      <c r="M93" s="3"/>
      <c r="R93" s="3"/>
      <c r="U93" s="5"/>
      <c r="AA93" s="6"/>
      <c r="AB93" s="6"/>
      <c r="AC93" s="6"/>
      <c r="AD93" s="6"/>
      <c r="AE93" s="6"/>
      <c r="AF93" s="2">
        <v>0</v>
      </c>
    </row>
    <row r="94" spans="1:32" s="2" customFormat="1" ht="18.75" hidden="1" customHeight="1">
      <c r="A94" s="46"/>
      <c r="C94" s="3"/>
      <c r="D94" s="9"/>
      <c r="E94" s="10" t="str">
        <f>FHD_NUM_P_56</f>
        <v/>
      </c>
      <c r="F94" s="42" t="str">
        <f>FHD_P_56</f>
        <v/>
      </c>
      <c r="G94" s="12" t="s">
        <v>48</v>
      </c>
      <c r="H94" s="90"/>
      <c r="I94" s="70"/>
      <c r="J94" s="13" t="str">
        <f>FHD_NOTE_P_56</f>
        <v/>
      </c>
      <c r="K94" s="14"/>
      <c r="L94" s="3"/>
      <c r="M94" s="3"/>
      <c r="R94" s="3"/>
      <c r="U94" s="5"/>
      <c r="AA94" s="6"/>
      <c r="AB94" s="6"/>
      <c r="AC94" s="6"/>
      <c r="AD94" s="6"/>
      <c r="AE94" s="6"/>
      <c r="AF94" s="2">
        <v>0</v>
      </c>
    </row>
    <row r="95" spans="1:32" s="4" customFormat="1" ht="18.75" hidden="1" customHeight="1">
      <c r="A95" s="46"/>
      <c r="B95" s="2"/>
      <c r="C95" s="3"/>
      <c r="D95" s="9"/>
      <c r="E95" s="10" t="str">
        <f>FHD_NUM_P_57</f>
        <v/>
      </c>
      <c r="F95" s="42" t="str">
        <f>FHD_P_57</f>
        <v/>
      </c>
      <c r="G95" s="12" t="s">
        <v>14</v>
      </c>
      <c r="H95" s="84"/>
      <c r="I95" s="43"/>
      <c r="J95" s="13" t="str">
        <f>FHD_NOTE_P_57</f>
        <v/>
      </c>
      <c r="K95" s="14"/>
      <c r="L95" s="3"/>
      <c r="M95" s="3"/>
      <c r="N95" s="2"/>
      <c r="O95" s="2"/>
      <c r="P95" s="2"/>
      <c r="Q95" s="2"/>
      <c r="R95" s="3"/>
      <c r="S95" s="2"/>
      <c r="T95" s="2"/>
      <c r="U95" s="5"/>
      <c r="V95" s="2"/>
      <c r="W95" s="2"/>
      <c r="X95" s="2"/>
      <c r="Y95" s="2"/>
      <c r="Z95" s="2"/>
      <c r="AA95" s="6"/>
      <c r="AB95" s="6"/>
      <c r="AC95" s="6"/>
      <c r="AD95" s="6"/>
      <c r="AE95" s="6"/>
      <c r="AF95" s="4">
        <v>0</v>
      </c>
    </row>
    <row r="96" spans="1:32" ht="18.75" hidden="1" customHeight="1">
      <c r="A96" s="46" t="s">
        <v>49</v>
      </c>
      <c r="D96" s="9"/>
      <c r="E96" s="10" t="str">
        <f>FHD_NUM_P_58</f>
        <v/>
      </c>
      <c r="F96" s="42" t="str">
        <f>FHD_P_58</f>
        <v/>
      </c>
      <c r="G96" s="12" t="s">
        <v>46</v>
      </c>
      <c r="H96" s="90"/>
      <c r="I96" s="70"/>
      <c r="J96" s="13" t="str">
        <f>FHD_NOTE_P_58</f>
        <v/>
      </c>
      <c r="K96" s="14"/>
      <c r="AF96" s="4">
        <v>0</v>
      </c>
    </row>
    <row r="97" spans="1:32" ht="18.75" hidden="1" customHeight="1">
      <c r="A97" s="46"/>
      <c r="D97" s="9"/>
      <c r="E97" s="10" t="str">
        <f>FHD_NUM_P_59</f>
        <v/>
      </c>
      <c r="F97" s="42" t="str">
        <f>FHD_P_59</f>
        <v/>
      </c>
      <c r="G97" s="12" t="s">
        <v>46</v>
      </c>
      <c r="H97" s="90"/>
      <c r="I97" s="70"/>
      <c r="J97" s="13" t="str">
        <f>FHD_NOTE_P_59</f>
        <v/>
      </c>
      <c r="K97" s="14"/>
      <c r="AF97" s="4">
        <v>0</v>
      </c>
    </row>
    <row r="98" spans="1:32" ht="18.75" hidden="1" customHeight="1">
      <c r="A98" s="46"/>
      <c r="D98" s="9"/>
      <c r="E98" s="10" t="str">
        <f>FHD_NUM_P_60</f>
        <v/>
      </c>
      <c r="F98" s="42" t="str">
        <f>FHD_P_60</f>
        <v/>
      </c>
      <c r="G98" s="12" t="s">
        <v>46</v>
      </c>
      <c r="H98" s="90"/>
      <c r="I98" s="70"/>
      <c r="J98" s="13" t="str">
        <f>FHD_NOTE_P_60</f>
        <v/>
      </c>
      <c r="K98" s="14"/>
      <c r="AF98" s="4">
        <v>0</v>
      </c>
    </row>
    <row r="99" spans="1:32" s="2" customFormat="1" ht="18.75" customHeight="1">
      <c r="A99" s="46" t="s">
        <v>50</v>
      </c>
      <c r="C99" s="3"/>
      <c r="D99" s="9"/>
      <c r="E99" s="10" t="str">
        <f>FHD_NUM_P_61</f>
        <v>7</v>
      </c>
      <c r="F99" s="42" t="str">
        <f>FHD_P_61</f>
        <v>Установленная тепловая мощность объектов основных фондов, используемых для теплоснабжения, в том числе по каждому источнику тепловой энергии</v>
      </c>
      <c r="G99" s="12" t="s">
        <v>12</v>
      </c>
      <c r="H99" s="94"/>
      <c r="I99" s="95">
        <v>0</v>
      </c>
      <c r="J99" s="13" t="str">
        <f>FHD_NOTE_P_61</f>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
      <c r="K99" s="14"/>
      <c r="L99" s="3"/>
      <c r="M99" s="3"/>
      <c r="R99" s="3"/>
      <c r="U99" s="5"/>
      <c r="AA99" s="6"/>
      <c r="AB99" s="6"/>
      <c r="AC99" s="6"/>
      <c r="AD99" s="6"/>
      <c r="AE99" s="6"/>
      <c r="AF99" s="2">
        <v>0</v>
      </c>
    </row>
    <row r="100" spans="1:32" s="3" customFormat="1" ht="0.75" customHeight="1">
      <c r="A100" s="46"/>
      <c r="D100" s="8"/>
      <c r="E100" s="17" t="str">
        <f>E99&amp;".0"</f>
        <v>7.0</v>
      </c>
      <c r="F100" s="96"/>
      <c r="G100" s="97"/>
      <c r="H100" s="81"/>
      <c r="I100" s="81"/>
      <c r="J100" s="98"/>
      <c r="AF100" s="3">
        <v>0</v>
      </c>
    </row>
    <row r="101" spans="1:32" ht="15" customHeight="1">
      <c r="A101" s="46"/>
      <c r="D101" s="60"/>
      <c r="E101" s="99"/>
      <c r="F101" s="100" t="s">
        <v>51</v>
      </c>
      <c r="G101" s="63"/>
      <c r="H101" s="64"/>
      <c r="I101" s="64"/>
      <c r="J101" s="101" t="s">
        <v>52</v>
      </c>
      <c r="K101" s="14"/>
      <c r="AF101" s="4">
        <v>0</v>
      </c>
    </row>
    <row r="102" spans="1:32" s="2" customFormat="1" ht="18.75" customHeight="1">
      <c r="A102" s="46"/>
      <c r="C102" s="3"/>
      <c r="D102" s="9"/>
      <c r="E102" s="10" t="str">
        <f>FHD_NUM_P_62</f>
        <v>8</v>
      </c>
      <c r="F102" s="42" t="str">
        <f>FHD_P_62</f>
        <v>Тепловая нагрузка по договорам, заключенным в рамках осуществления регулируемых видов деятельности</v>
      </c>
      <c r="G102" s="26" t="s">
        <v>12</v>
      </c>
      <c r="H102" s="43"/>
      <c r="I102" s="43">
        <v>0</v>
      </c>
      <c r="J102" s="13" t="str">
        <f>FHD_NOTE_P_62</f>
        <v>Регулируемыми организациями указывается информация по договорам, заключенным в рамках осуществления регулируемых видов деятельности</v>
      </c>
      <c r="K102" s="14"/>
      <c r="L102" s="3"/>
      <c r="M102" s="3"/>
      <c r="R102" s="3"/>
      <c r="U102" s="5"/>
      <c r="AA102" s="6"/>
      <c r="AB102" s="6"/>
      <c r="AC102" s="6"/>
      <c r="AD102" s="6"/>
      <c r="AE102" s="6"/>
      <c r="AF102" s="2">
        <v>0</v>
      </c>
    </row>
    <row r="103" spans="1:32" s="2" customFormat="1" ht="18.75" customHeight="1">
      <c r="A103" s="46"/>
      <c r="C103" s="3"/>
      <c r="D103" s="9"/>
      <c r="E103" s="10" t="str">
        <f>FHD_NUM_P_63</f>
        <v>9</v>
      </c>
      <c r="F103" s="42" t="str">
        <f>FHD_P_63</f>
        <v>Объем вырабатываемой регулируемой организацией тепловой энергии в рамках осуществления регулируемых видов деятельности</v>
      </c>
      <c r="G103" s="26" t="s">
        <v>48</v>
      </c>
      <c r="H103" s="70"/>
      <c r="I103" s="70">
        <v>7.3410000000000002</v>
      </c>
      <c r="J103" s="13" t="str">
        <f>FHD_NOTE_P_63</f>
        <v>Регулируемыми организациями указывается информация тепловой энергии, выработанной в рамках осуществления регулируемых видов деятельности.</v>
      </c>
      <c r="K103" s="14"/>
      <c r="L103" s="3"/>
      <c r="M103" s="3"/>
      <c r="R103" s="3"/>
      <c r="U103" s="5"/>
      <c r="AA103" s="6"/>
      <c r="AB103" s="6"/>
      <c r="AC103" s="6"/>
      <c r="AD103" s="6"/>
      <c r="AE103" s="6"/>
      <c r="AF103" s="2">
        <v>0</v>
      </c>
    </row>
    <row r="104" spans="1:32" s="2" customFormat="1" ht="18.75" customHeight="1">
      <c r="A104" s="46"/>
      <c r="C104" s="3" t="s">
        <v>43</v>
      </c>
      <c r="D104" s="9"/>
      <c r="E104" s="10" t="str">
        <f>FHD_NUM_P_64</f>
        <v>9.1</v>
      </c>
      <c r="F104" s="42" t="str">
        <f>FHD_P_64</f>
        <v>Объем приобретаемой регулируемой организацией тепловой энергии в рамках осуществления регулируемых видов деятельности</v>
      </c>
      <c r="G104" s="26" t="s">
        <v>48</v>
      </c>
      <c r="H104" s="27"/>
      <c r="I104" s="27"/>
      <c r="J104" s="13" t="str">
        <f>FHD_NOTE_P_64</f>
        <v>Информация указывается только едиными теплоснабжающими организациями.</v>
      </c>
      <c r="K104" s="14"/>
      <c r="L104" s="3"/>
      <c r="M104" s="3"/>
      <c r="R104" s="3"/>
      <c r="U104" s="5"/>
      <c r="AA104" s="6"/>
      <c r="AB104" s="6"/>
      <c r="AC104" s="6"/>
      <c r="AD104" s="6"/>
      <c r="AE104" s="6"/>
      <c r="AF104" s="2">
        <v>0</v>
      </c>
    </row>
    <row r="105" spans="1:32" s="2" customFormat="1" ht="18.75" customHeight="1">
      <c r="A105" s="46"/>
      <c r="C105" s="3"/>
      <c r="D105" s="9"/>
      <c r="E105" s="10" t="str">
        <f>FHD_NUM_P_65</f>
        <v>10</v>
      </c>
      <c r="F105" s="42" t="str">
        <f>FHD_P_65</f>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
      <c r="G105" s="26" t="s">
        <v>48</v>
      </c>
      <c r="H105" s="70"/>
      <c r="I105" s="70">
        <v>1.36425</v>
      </c>
      <c r="J105" s="13" t="str">
        <f>FHD_NOTE_P_65</f>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
      <c r="K105" s="14"/>
      <c r="L105" s="3"/>
      <c r="M105" s="3"/>
      <c r="R105" s="3"/>
      <c r="U105" s="5"/>
      <c r="AA105" s="6"/>
      <c r="AB105" s="6"/>
      <c r="AC105" s="6"/>
      <c r="AD105" s="6"/>
      <c r="AE105" s="6"/>
      <c r="AF105" s="2">
        <v>0</v>
      </c>
    </row>
    <row r="106" spans="1:32" s="2" customFormat="1" ht="18.75" customHeight="1">
      <c r="A106" s="46"/>
      <c r="C106" s="3"/>
      <c r="D106" s="9"/>
      <c r="E106" s="10" t="str">
        <f>FHD_NUM_P_66</f>
        <v>10.1</v>
      </c>
      <c r="F106" s="45" t="str">
        <f>FHD_P_66</f>
        <v xml:space="preserve">По приборам учёта </v>
      </c>
      <c r="G106" s="26" t="s">
        <v>48</v>
      </c>
      <c r="H106" s="70"/>
      <c r="I106" s="70">
        <v>1.36425</v>
      </c>
      <c r="J106" s="13" t="str">
        <f>FHD_NOTE_P_66</f>
        <v/>
      </c>
      <c r="K106" s="14"/>
      <c r="L106" s="3"/>
      <c r="M106" s="3"/>
      <c r="R106" s="3"/>
      <c r="U106" s="5"/>
      <c r="AA106" s="6"/>
      <c r="AB106" s="6"/>
      <c r="AC106" s="6"/>
      <c r="AD106" s="6"/>
      <c r="AE106" s="6"/>
      <c r="AF106" s="2">
        <v>0</v>
      </c>
    </row>
    <row r="107" spans="1:32" s="2" customFormat="1" ht="18.75" customHeight="1">
      <c r="A107" s="46"/>
      <c r="C107" s="3"/>
      <c r="D107" s="9"/>
      <c r="E107" s="10" t="str">
        <f>FHD_NUM_P_67</f>
        <v>10.1.1</v>
      </c>
      <c r="F107" s="66" t="str">
        <f>FHD_P_67</f>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
      <c r="G107" s="26" t="s">
        <v>48</v>
      </c>
      <c r="H107" s="70"/>
      <c r="I107" s="70">
        <v>1.3643000000000001</v>
      </c>
      <c r="J107" s="13" t="str">
        <f>FHD_NOTE_P_67</f>
        <v/>
      </c>
      <c r="K107" s="14"/>
      <c r="L107" s="3"/>
      <c r="M107" s="3"/>
      <c r="R107" s="3"/>
      <c r="U107" s="5"/>
      <c r="AA107" s="6"/>
      <c r="AB107" s="6"/>
      <c r="AC107" s="6"/>
      <c r="AD107" s="6"/>
      <c r="AE107" s="6"/>
      <c r="AF107" s="2">
        <v>0</v>
      </c>
    </row>
    <row r="108" spans="1:32" s="2" customFormat="1" ht="18.75" customHeight="1">
      <c r="A108" s="46"/>
      <c r="C108" s="3"/>
      <c r="D108" s="9"/>
      <c r="E108" s="10" t="str">
        <f>FHD_NUM_P_68</f>
        <v>10.2</v>
      </c>
      <c r="F108" s="45" t="str">
        <f>FHD_P_68</f>
        <v>Расчётным путём</v>
      </c>
      <c r="G108" s="26" t="s">
        <v>48</v>
      </c>
      <c r="H108" s="70"/>
      <c r="I108" s="70">
        <v>0</v>
      </c>
      <c r="J108" s="13" t="str">
        <f>FHD_NOTE_P_68</f>
        <v/>
      </c>
      <c r="K108" s="14"/>
      <c r="L108" s="3"/>
      <c r="M108" s="3"/>
      <c r="R108" s="3"/>
      <c r="U108" s="5"/>
      <c r="AA108" s="6"/>
      <c r="AB108" s="6"/>
      <c r="AC108" s="6"/>
      <c r="AD108" s="6"/>
      <c r="AE108" s="6"/>
      <c r="AF108" s="2">
        <v>0</v>
      </c>
    </row>
    <row r="109" spans="1:32" s="2" customFormat="1" ht="18.75" customHeight="1">
      <c r="A109" s="46"/>
      <c r="C109" s="3"/>
      <c r="D109" s="9"/>
      <c r="E109" s="10" t="str">
        <f>FHD_NUM_P_69</f>
        <v>10.3</v>
      </c>
      <c r="F109" s="45" t="str">
        <f>FHD_P_69</f>
        <v>По нормативам потребления коммунальных услуг и нормативам потребления коммунальных ресурсов</v>
      </c>
      <c r="G109" s="26" t="s">
        <v>48</v>
      </c>
      <c r="H109" s="70"/>
      <c r="I109" s="70">
        <v>0</v>
      </c>
      <c r="J109" s="13" t="str">
        <f>FHD_NOTE_P_69</f>
        <v/>
      </c>
      <c r="K109" s="14"/>
      <c r="L109" s="3"/>
      <c r="M109" s="3"/>
      <c r="R109" s="3"/>
      <c r="U109" s="5"/>
      <c r="AA109" s="6"/>
      <c r="AB109" s="6"/>
      <c r="AC109" s="6"/>
      <c r="AD109" s="6"/>
      <c r="AE109" s="6"/>
      <c r="AF109" s="2">
        <v>0</v>
      </c>
    </row>
    <row r="110" spans="1:32" s="2" customFormat="1" ht="22.5" customHeight="1">
      <c r="A110" s="46"/>
      <c r="C110" s="3"/>
      <c r="D110" s="9"/>
      <c r="E110" s="10" t="str">
        <f>FHD_NUM_P_70</f>
        <v>11</v>
      </c>
      <c r="F110" s="42" t="str">
        <f>FHD_P_70</f>
        <v>Нормативы технологических потерь при передаче тепловой энергии, теплоносителя по тепловым сетям, утвержденные уполномоченным органом</v>
      </c>
      <c r="G110" s="26" t="s">
        <v>53</v>
      </c>
      <c r="H110" s="43"/>
      <c r="I110" s="43">
        <v>0</v>
      </c>
      <c r="J110" s="13" t="str">
        <f>FHD_NOTE_P_70</f>
        <v/>
      </c>
      <c r="K110" s="14"/>
      <c r="L110" s="3"/>
      <c r="M110" s="3"/>
      <c r="R110" s="3"/>
      <c r="U110" s="5"/>
      <c r="AA110" s="6"/>
      <c r="AB110" s="6"/>
      <c r="AC110" s="6"/>
      <c r="AD110" s="6"/>
      <c r="AE110" s="6"/>
      <c r="AF110" s="2">
        <v>0</v>
      </c>
    </row>
    <row r="111" spans="1:32" s="2" customFormat="1" ht="22.5" customHeight="1">
      <c r="A111" s="46"/>
      <c r="C111" s="3"/>
      <c r="D111" s="9"/>
      <c r="E111" s="10" t="str">
        <f>FHD_NUM_P_71</f>
        <v>12</v>
      </c>
      <c r="F111" s="42" t="str">
        <f>FHD_P_71</f>
        <v>Фактический объем потерь при передаче тепловой энергии</v>
      </c>
      <c r="G111" s="26" t="s">
        <v>53</v>
      </c>
      <c r="H111" s="43"/>
      <c r="I111" s="43">
        <v>0</v>
      </c>
      <c r="J111" s="13" t="str">
        <f>FHD_NOTE_P_71</f>
        <v/>
      </c>
      <c r="K111" s="14"/>
      <c r="L111" s="3"/>
      <c r="M111" s="3"/>
      <c r="R111" s="3"/>
      <c r="U111" s="5"/>
      <c r="AA111" s="6"/>
      <c r="AB111" s="6"/>
      <c r="AC111" s="6"/>
      <c r="AD111" s="6"/>
      <c r="AE111" s="6"/>
      <c r="AF111" s="2">
        <v>0</v>
      </c>
    </row>
    <row r="112" spans="1:32" ht="20.25" customHeight="1">
      <c r="D112" s="9"/>
      <c r="E112" s="10" t="str">
        <f>FHD_NUM_P_72</f>
        <v>13</v>
      </c>
      <c r="F112" s="42" t="str">
        <f>FHD_P_72</f>
        <v>Среднесписочная численность основного производственного персонала</v>
      </c>
      <c r="G112" s="26" t="s">
        <v>54</v>
      </c>
      <c r="H112" s="70"/>
      <c r="I112" s="70">
        <v>0.46</v>
      </c>
      <c r="J112" s="13" t="str">
        <f>FHD_NOTE_P_72</f>
        <v/>
      </c>
      <c r="K112" s="14"/>
      <c r="AF112" s="4">
        <v>19</v>
      </c>
    </row>
    <row r="113" spans="1:32" ht="18.75" customHeight="1">
      <c r="A113" s="68" t="s">
        <v>55</v>
      </c>
      <c r="D113" s="9"/>
      <c r="E113" s="10" t="str">
        <f>FHD_NUM_P_73</f>
        <v>14</v>
      </c>
      <c r="F113" s="42" t="str">
        <f>FHD_P_73</f>
        <v>Среднесписочная численность административно-управленческого персонала</v>
      </c>
      <c r="G113" s="102" t="s">
        <v>54</v>
      </c>
      <c r="H113" s="103"/>
      <c r="I113" s="103">
        <v>0.54</v>
      </c>
      <c r="J113" s="13" t="str">
        <f>FHD_NOTE_P_73</f>
        <v/>
      </c>
      <c r="K113" s="14"/>
      <c r="AF113" s="4">
        <v>0</v>
      </c>
    </row>
    <row r="114" spans="1:32" ht="33.75" hidden="1" customHeight="1">
      <c r="A114" s="68" t="s">
        <v>56</v>
      </c>
      <c r="D114" s="9"/>
      <c r="E114" s="10" t="str">
        <f>FHD_NUM_P_74</f>
        <v/>
      </c>
      <c r="F114" s="42" t="str">
        <f>FHD_P_74</f>
        <v/>
      </c>
      <c r="G114" s="26" t="s">
        <v>57</v>
      </c>
      <c r="H114" s="70"/>
      <c r="I114" s="70"/>
      <c r="J114" s="13" t="str">
        <f>FHD_NOTE_P_74</f>
        <v/>
      </c>
      <c r="K114" s="14"/>
      <c r="AF114" s="4">
        <v>0</v>
      </c>
    </row>
    <row r="115" spans="1:32" s="4" customFormat="1" ht="18.75" hidden="1" customHeight="1">
      <c r="A115" s="46" t="s">
        <v>58</v>
      </c>
      <c r="B115" s="2"/>
      <c r="C115" s="3"/>
      <c r="D115" s="9"/>
      <c r="E115" s="10" t="str">
        <f>FHD_NUM_P_75</f>
        <v/>
      </c>
      <c r="F115" s="42" t="str">
        <f>FHD_P_75</f>
        <v/>
      </c>
      <c r="G115" s="26" t="s">
        <v>14</v>
      </c>
      <c r="H115" s="43"/>
      <c r="I115" s="43"/>
      <c r="J115" s="13" t="str">
        <f>FHD_NOTE_P_75</f>
        <v/>
      </c>
      <c r="K115" s="14"/>
      <c r="L115" s="3"/>
      <c r="M115" s="3"/>
      <c r="N115" s="2"/>
      <c r="O115" s="2"/>
      <c r="P115" s="2"/>
      <c r="Q115" s="2"/>
      <c r="R115" s="3"/>
      <c r="S115" s="2"/>
      <c r="T115" s="2"/>
      <c r="U115" s="5"/>
      <c r="V115" s="2"/>
      <c r="W115" s="2"/>
      <c r="X115" s="2"/>
      <c r="Y115" s="2"/>
      <c r="Z115" s="2"/>
      <c r="AA115" s="6"/>
      <c r="AB115" s="6"/>
      <c r="AC115" s="6"/>
      <c r="AD115" s="6"/>
      <c r="AE115" s="6"/>
      <c r="AF115" s="4">
        <v>0</v>
      </c>
    </row>
    <row r="116" spans="1:32" s="4" customFormat="1" ht="18.75" hidden="1" customHeight="1">
      <c r="A116" s="46"/>
      <c r="B116" s="2"/>
      <c r="C116" s="3"/>
      <c r="D116" s="9"/>
      <c r="E116" s="10" t="str">
        <f>FHD_NUM_P_76</f>
        <v/>
      </c>
      <c r="F116" s="42" t="str">
        <f>FHD_P_76</f>
        <v/>
      </c>
      <c r="G116" s="26" t="s">
        <v>14</v>
      </c>
      <c r="H116" s="43"/>
      <c r="I116" s="43"/>
      <c r="J116" s="13" t="str">
        <f>FHD_NOTE_P_76</f>
        <v/>
      </c>
      <c r="K116" s="14"/>
      <c r="L116" s="3"/>
      <c r="M116" s="3"/>
      <c r="N116" s="2"/>
      <c r="O116" s="2"/>
      <c r="P116" s="2"/>
      <c r="Q116" s="2"/>
      <c r="R116" s="3"/>
      <c r="S116" s="2"/>
      <c r="T116" s="2"/>
      <c r="U116" s="5"/>
      <c r="V116" s="2"/>
      <c r="W116" s="2"/>
      <c r="X116" s="2"/>
      <c r="Y116" s="2"/>
      <c r="Z116" s="2"/>
      <c r="AA116" s="6"/>
      <c r="AB116" s="6"/>
      <c r="AC116" s="6"/>
      <c r="AD116" s="6"/>
      <c r="AE116" s="6"/>
      <c r="AF116" s="4">
        <v>0</v>
      </c>
    </row>
    <row r="117" spans="1:32" s="4" customFormat="1" ht="18.75" hidden="1" customHeight="1">
      <c r="A117" s="46"/>
      <c r="B117" s="2"/>
      <c r="C117" s="3"/>
      <c r="D117" s="9"/>
      <c r="E117" s="10" t="str">
        <f>FHD_NUM_P_77</f>
        <v/>
      </c>
      <c r="F117" s="42" t="str">
        <f>FHD_P_77</f>
        <v/>
      </c>
      <c r="G117" s="26" t="s">
        <v>14</v>
      </c>
      <c r="H117" s="43"/>
      <c r="I117" s="43"/>
      <c r="J117" s="13" t="str">
        <f>FHD_NOTE_P_77</f>
        <v/>
      </c>
      <c r="K117" s="14"/>
      <c r="L117" s="3"/>
      <c r="M117" s="3"/>
      <c r="N117" s="2"/>
      <c r="O117" s="2"/>
      <c r="P117" s="2"/>
      <c r="Q117" s="2"/>
      <c r="R117" s="3"/>
      <c r="S117" s="2"/>
      <c r="T117" s="2"/>
      <c r="U117" s="5"/>
      <c r="V117" s="2"/>
      <c r="W117" s="2"/>
      <c r="X117" s="2"/>
      <c r="Y117" s="2"/>
      <c r="Z117" s="2"/>
      <c r="AA117" s="6"/>
      <c r="AB117" s="6"/>
      <c r="AC117" s="6"/>
      <c r="AD117" s="6"/>
      <c r="AE117" s="6"/>
      <c r="AF117" s="4">
        <v>0</v>
      </c>
    </row>
    <row r="118" spans="1:32" s="3" customFormat="1" ht="0.75" hidden="1" customHeight="1">
      <c r="A118" s="46"/>
      <c r="D118" s="8"/>
      <c r="E118" s="17" t="str">
        <f>E117&amp;".0"</f>
        <v>.0</v>
      </c>
      <c r="F118" s="104"/>
      <c r="G118" s="105"/>
      <c r="H118" s="81"/>
      <c r="I118" s="81"/>
      <c r="J118" s="98"/>
      <c r="AF118" s="3">
        <v>0</v>
      </c>
    </row>
    <row r="119" spans="1:32" s="4" customFormat="1" ht="15" hidden="1" customHeight="1">
      <c r="A119" s="46"/>
      <c r="B119" s="2"/>
      <c r="C119" s="3"/>
      <c r="D119" s="60"/>
      <c r="E119" s="99"/>
      <c r="F119" s="100" t="s">
        <v>59</v>
      </c>
      <c r="G119" s="63"/>
      <c r="H119" s="64"/>
      <c r="I119" s="64"/>
      <c r="J119" s="101" t="s">
        <v>60</v>
      </c>
      <c r="K119" s="14"/>
      <c r="L119" s="3"/>
      <c r="M119" s="3"/>
      <c r="N119" s="2"/>
      <c r="O119" s="2"/>
      <c r="P119" s="2"/>
      <c r="Q119" s="2"/>
      <c r="R119" s="3"/>
      <c r="S119" s="2"/>
      <c r="T119" s="2"/>
      <c r="U119" s="5"/>
      <c r="V119" s="2"/>
      <c r="W119" s="2"/>
      <c r="X119" s="2"/>
      <c r="Y119" s="2"/>
      <c r="Z119" s="2"/>
      <c r="AA119" s="6"/>
      <c r="AB119" s="6"/>
      <c r="AC119" s="6"/>
      <c r="AD119" s="6"/>
      <c r="AE119" s="6"/>
      <c r="AF119" s="4">
        <v>0</v>
      </c>
    </row>
    <row r="120" spans="1:32" ht="22.5" customHeight="1">
      <c r="A120" s="46" t="s">
        <v>61</v>
      </c>
      <c r="D120" s="9"/>
      <c r="E120" s="10" t="str">
        <f>FHD_NUM_P_78</f>
        <v>15</v>
      </c>
      <c r="F120" s="42" t="str">
        <f>FHD_P_78</f>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
      <c r="G120" s="26" t="s">
        <v>16</v>
      </c>
      <c r="H120" s="70"/>
      <c r="I120" s="70">
        <v>0</v>
      </c>
      <c r="J120" s="13" t="str">
        <f>FHD_NOTE_P_78</f>
        <v/>
      </c>
      <c r="K120" s="14"/>
      <c r="AF120" s="4">
        <v>0</v>
      </c>
    </row>
    <row r="121" spans="1:32" s="3" customFormat="1" ht="0.75" customHeight="1">
      <c r="A121" s="46"/>
      <c r="D121" s="8"/>
      <c r="E121" s="17" t="str">
        <f>E120&amp;".0"</f>
        <v>15.0</v>
      </c>
      <c r="F121" s="104"/>
      <c r="G121" s="105"/>
      <c r="H121" s="81"/>
      <c r="I121" s="81"/>
      <c r="J121" s="98"/>
      <c r="AF121" s="3">
        <v>0</v>
      </c>
    </row>
    <row r="122" spans="1:32" ht="15" customHeight="1">
      <c r="A122" s="46"/>
      <c r="D122" s="60"/>
      <c r="E122" s="61"/>
      <c r="F122" s="106" t="s">
        <v>51</v>
      </c>
      <c r="G122" s="63"/>
      <c r="H122" s="64"/>
      <c r="I122" s="64"/>
      <c r="J122" s="101" t="s">
        <v>62</v>
      </c>
      <c r="K122" s="14"/>
      <c r="AF122" s="4">
        <v>0</v>
      </c>
    </row>
    <row r="123" spans="1:32" ht="22.5" customHeight="1">
      <c r="A123" s="46"/>
      <c r="D123" s="9"/>
      <c r="E123" s="10" t="str">
        <f>FHD_NUM_P_79</f>
        <v>16</v>
      </c>
      <c r="F123" s="42" t="str">
        <f>FHD_P_79</f>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
      <c r="G123" s="12" t="s">
        <v>18</v>
      </c>
      <c r="H123" s="70"/>
      <c r="I123" s="70">
        <v>0</v>
      </c>
      <c r="J123" s="13" t="str">
        <f>FHD_NOTE_P_79</f>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
      <c r="K123" s="14"/>
      <c r="AF123" s="4">
        <v>0</v>
      </c>
    </row>
    <row r="124" spans="1:32" s="3" customFormat="1" ht="0.75" customHeight="1">
      <c r="A124" s="46"/>
      <c r="D124" s="8"/>
      <c r="E124" s="17" t="str">
        <f>E123&amp;".0"</f>
        <v>16.0</v>
      </c>
      <c r="F124" s="107"/>
      <c r="G124" s="105"/>
      <c r="H124" s="81"/>
      <c r="I124" s="81"/>
      <c r="J124" s="98"/>
      <c r="AF124" s="3">
        <v>0</v>
      </c>
    </row>
    <row r="125" spans="1:32" ht="15" customHeight="1">
      <c r="A125" s="46"/>
      <c r="D125" s="60"/>
      <c r="E125" s="61"/>
      <c r="F125" s="106" t="s">
        <v>51</v>
      </c>
      <c r="G125" s="63"/>
      <c r="H125" s="64"/>
      <c r="I125" s="64"/>
      <c r="J125" s="101" t="s">
        <v>63</v>
      </c>
      <c r="K125" s="14"/>
      <c r="AF125" s="4">
        <v>0</v>
      </c>
    </row>
    <row r="126" spans="1:32" ht="22.5" customHeight="1">
      <c r="A126" s="46"/>
      <c r="D126" s="9"/>
      <c r="E126" s="10" t="str">
        <f>FHD_NUM_P_80</f>
        <v>17</v>
      </c>
      <c r="F126" s="42" t="str">
        <f>FHD_P_80</f>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
      <c r="G126" s="12" t="s">
        <v>64</v>
      </c>
      <c r="H126" s="43"/>
      <c r="I126" s="43">
        <v>0</v>
      </c>
      <c r="J126" s="13" t="str">
        <f>FHD_NOTE_P_80</f>
        <v>Регулируемыми организациями указывается информация с по договорам, заключенным в рамках осуществления регулируемой деятельности.</v>
      </c>
      <c r="K126" s="14"/>
      <c r="AF126" s="4">
        <v>0</v>
      </c>
    </row>
    <row r="127" spans="1:32" ht="18.75" customHeight="1">
      <c r="A127" s="46"/>
      <c r="D127" s="9"/>
      <c r="E127" s="10" t="str">
        <f>FHD_NUM_P_81</f>
        <v>18</v>
      </c>
      <c r="F127" s="42" t="str">
        <f>FHD_P_81</f>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
      <c r="G127" s="12" t="s">
        <v>65</v>
      </c>
      <c r="H127" s="43"/>
      <c r="I127" s="43">
        <v>0</v>
      </c>
      <c r="J127" s="13" t="str">
        <f>FHD_NOTE_P_81</f>
        <v>Регулируемыми организациями указывается информация с по договорам, заключенным в рамках осуществления регулируемой деятельности.</v>
      </c>
      <c r="K127" s="14"/>
      <c r="AF127" s="4">
        <v>0</v>
      </c>
    </row>
    <row r="128" spans="1:32" ht="39.75" customHeight="1">
      <c r="A128" s="46"/>
      <c r="C128" s="3" t="s">
        <v>44</v>
      </c>
      <c r="D128" s="9"/>
      <c r="E128" s="10" t="str">
        <f>FHD_NUM_P_82</f>
        <v>19</v>
      </c>
      <c r="F128" s="42" t="str">
        <f>FHD_P_82</f>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
      <c r="G128" s="12" t="s">
        <v>37</v>
      </c>
      <c r="H128" s="89"/>
      <c r="I128" s="108" t="s">
        <v>66</v>
      </c>
      <c r="J128" s="13" t="str">
        <f>FHD_NOTE_P_82</f>
        <v>Указывается ссылка на документ, предварительно загруженный в хранилище файлов ФГИС ЕИАС.</v>
      </c>
      <c r="K128" s="14"/>
      <c r="AF128" s="4">
        <v>0</v>
      </c>
    </row>
    <row r="129" spans="1:32" ht="18.75" customHeight="1">
      <c r="A129" s="46"/>
      <c r="C129" s="3" t="s">
        <v>44</v>
      </c>
      <c r="D129" s="9"/>
      <c r="E129" s="10" t="str">
        <f>FHD_NUM_P_83</f>
        <v>19.1</v>
      </c>
      <c r="F129" s="45" t="str">
        <f>FHD_P_83</f>
        <v>Информация о показателях физического износа объектов теплоснабжения</v>
      </c>
      <c r="G129" s="12" t="s">
        <v>37</v>
      </c>
      <c r="H129" s="89"/>
      <c r="I129" s="89"/>
      <c r="J129" s="13" t="str">
        <f>FHD_NOTE_P_83</f>
        <v>Указывается ссылка на документ, предварительно загруженный в хранилище файлов ФГИС ЕИАС.</v>
      </c>
      <c r="K129" s="14"/>
      <c r="AF129" s="4">
        <v>0</v>
      </c>
    </row>
    <row r="130" spans="1:32" ht="18.75" customHeight="1">
      <c r="A130" s="46"/>
      <c r="C130" s="3" t="s">
        <v>44</v>
      </c>
      <c r="D130" s="9"/>
      <c r="E130" s="10" t="str">
        <f>FHD_NUM_P_84</f>
        <v>19.2</v>
      </c>
      <c r="F130" s="45" t="str">
        <f>FHD_P_84</f>
        <v>Информация о показателях энергетической эффективности объектов теплоснабжения</v>
      </c>
      <c r="G130" s="12" t="s">
        <v>37</v>
      </c>
      <c r="H130" s="89"/>
      <c r="I130" s="89"/>
      <c r="J130" s="13" t="str">
        <f>FHD_NOTE_P_84</f>
        <v>Указывается ссылка на документ, предварительно загруженный в хранилище файлов ФГИС ЕИАС.</v>
      </c>
      <c r="K130" s="14"/>
      <c r="AF130" s="4">
        <v>0</v>
      </c>
    </row>
    <row r="131" spans="1:32" ht="11.55" customHeight="1">
      <c r="D131" s="9"/>
      <c r="AF131" s="4">
        <v>11</v>
      </c>
    </row>
    <row r="132" spans="1:32" ht="13.5" customHeight="1">
      <c r="D132" s="9"/>
      <c r="E132" s="109"/>
      <c r="F132" s="110"/>
      <c r="G132" s="110"/>
      <c r="H132" s="110"/>
      <c r="I132" s="111"/>
      <c r="J132" s="112"/>
      <c r="AF132" s="4">
        <v>13</v>
      </c>
    </row>
    <row r="133" spans="1:32" s="56" customFormat="1" ht="11.55" customHeight="1">
      <c r="A133" s="1"/>
      <c r="B133" s="3"/>
      <c r="C133" s="3"/>
      <c r="F133" s="113"/>
      <c r="G133" s="4"/>
      <c r="H133" s="4"/>
      <c r="I133" s="4"/>
      <c r="K133" s="2"/>
      <c r="L133" s="3"/>
      <c r="M133" s="3"/>
      <c r="N133" s="2"/>
      <c r="O133" s="2"/>
      <c r="P133" s="2"/>
      <c r="Q133" s="2"/>
      <c r="R133" s="3"/>
      <c r="S133" s="2"/>
      <c r="T133" s="2"/>
      <c r="U133" s="5"/>
      <c r="V133" s="2"/>
      <c r="W133" s="2"/>
      <c r="X133" s="2"/>
      <c r="Y133" s="2"/>
      <c r="Z133" s="2"/>
      <c r="AA133" s="6"/>
      <c r="AB133" s="55"/>
      <c r="AC133" s="55"/>
      <c r="AD133" s="55"/>
      <c r="AE133" s="55"/>
      <c r="AF133" s="56">
        <v>11</v>
      </c>
    </row>
    <row r="134" spans="1:32" s="56" customFormat="1" ht="11.55" customHeight="1">
      <c r="A134" s="1"/>
      <c r="B134" s="3"/>
      <c r="C134" s="3"/>
      <c r="K134" s="2"/>
      <c r="L134" s="3"/>
      <c r="M134" s="3"/>
      <c r="N134" s="2"/>
      <c r="O134" s="2"/>
      <c r="P134" s="2"/>
      <c r="Q134" s="2"/>
      <c r="R134" s="3"/>
      <c r="S134" s="2"/>
      <c r="T134" s="2"/>
      <c r="U134" s="5"/>
      <c r="V134" s="2"/>
      <c r="W134" s="2"/>
      <c r="X134" s="2"/>
      <c r="Y134" s="2"/>
      <c r="Z134" s="2"/>
      <c r="AA134" s="6"/>
      <c r="AB134" s="55"/>
      <c r="AC134" s="55"/>
      <c r="AD134" s="55"/>
      <c r="AE134" s="55"/>
      <c r="AF134" s="56">
        <v>11</v>
      </c>
    </row>
    <row r="135" spans="1:32" s="56" customFormat="1" ht="11.55" customHeight="1">
      <c r="A135" s="1"/>
      <c r="B135" s="3"/>
      <c r="C135" s="3"/>
      <c r="K135" s="2"/>
      <c r="L135" s="3"/>
      <c r="M135" s="3"/>
      <c r="N135" s="2"/>
      <c r="O135" s="2"/>
      <c r="P135" s="2"/>
      <c r="Q135" s="2"/>
      <c r="R135" s="3"/>
      <c r="S135" s="2"/>
      <c r="T135" s="2"/>
      <c r="U135" s="5"/>
      <c r="V135" s="2"/>
      <c r="W135" s="2"/>
      <c r="X135" s="2"/>
      <c r="Y135" s="2"/>
      <c r="Z135" s="2"/>
      <c r="AA135" s="6"/>
      <c r="AB135" s="55"/>
      <c r="AC135" s="55"/>
      <c r="AD135" s="55"/>
      <c r="AE135" s="55"/>
      <c r="AF135" s="56">
        <v>11</v>
      </c>
    </row>
    <row r="136" spans="1:32" s="56" customFormat="1" ht="11.55" customHeight="1">
      <c r="A136" s="1"/>
      <c r="B136" s="3"/>
      <c r="C136" s="3"/>
      <c r="H136" s="55" t="str">
        <f>IF(H30-H31&lt;&gt;H72,"WARNING","")</f>
        <v/>
      </c>
      <c r="I136" s="55" t="str">
        <f>IF(I30-I31&lt;&gt;I72,"WARNING","")</f>
        <v/>
      </c>
      <c r="K136" s="2"/>
      <c r="L136" s="3"/>
      <c r="M136" s="3"/>
      <c r="N136" s="2"/>
      <c r="O136" s="2"/>
      <c r="P136" s="2"/>
      <c r="Q136" s="2"/>
      <c r="R136" s="3"/>
      <c r="S136" s="2"/>
      <c r="T136" s="2"/>
      <c r="U136" s="5"/>
      <c r="V136" s="2"/>
      <c r="W136" s="2"/>
      <c r="X136" s="2"/>
      <c r="Y136" s="2"/>
      <c r="Z136" s="2"/>
      <c r="AA136" s="6"/>
      <c r="AB136" s="55"/>
      <c r="AC136" s="55"/>
      <c r="AD136" s="55"/>
      <c r="AE136" s="55"/>
      <c r="AF136" s="56">
        <v>11</v>
      </c>
    </row>
    <row r="137" spans="1:32" s="56" customFormat="1" ht="11.55" customHeight="1">
      <c r="A137" s="1"/>
      <c r="B137" s="3"/>
      <c r="C137" s="3"/>
      <c r="K137" s="2"/>
      <c r="L137" s="3"/>
      <c r="M137" s="3"/>
      <c r="N137" s="2"/>
      <c r="O137" s="2"/>
      <c r="P137" s="2"/>
      <c r="Q137" s="2"/>
      <c r="R137" s="3"/>
      <c r="S137" s="2"/>
      <c r="T137" s="2"/>
      <c r="U137" s="5"/>
      <c r="V137" s="2"/>
      <c r="W137" s="2"/>
      <c r="X137" s="2"/>
      <c r="Y137" s="2"/>
      <c r="Z137" s="2"/>
      <c r="AA137" s="6"/>
      <c r="AB137" s="55"/>
      <c r="AC137" s="55"/>
      <c r="AD137" s="55"/>
      <c r="AE137" s="55"/>
      <c r="AF137" s="56">
        <v>11</v>
      </c>
    </row>
    <row r="138" spans="1:32" s="56" customFormat="1" ht="11.55" customHeight="1">
      <c r="A138" s="1"/>
      <c r="B138" s="3"/>
      <c r="C138" s="3"/>
      <c r="K138" s="2"/>
      <c r="L138" s="3"/>
      <c r="M138" s="3"/>
      <c r="N138" s="2"/>
      <c r="O138" s="2"/>
      <c r="P138" s="2"/>
      <c r="Q138" s="2"/>
      <c r="R138" s="3"/>
      <c r="S138" s="2"/>
      <c r="T138" s="2"/>
      <c r="U138" s="5"/>
      <c r="V138" s="2"/>
      <c r="W138" s="2"/>
      <c r="X138" s="2"/>
      <c r="Y138" s="2"/>
      <c r="Z138" s="2"/>
      <c r="AA138" s="6"/>
      <c r="AB138" s="55"/>
      <c r="AC138" s="55"/>
      <c r="AD138" s="55"/>
      <c r="AE138" s="55"/>
      <c r="AF138" s="56">
        <v>11</v>
      </c>
    </row>
    <row r="139" spans="1:32" s="56" customFormat="1" ht="11.55" customHeight="1">
      <c r="A139" s="1"/>
      <c r="B139" s="3"/>
      <c r="C139" s="3"/>
      <c r="K139" s="2"/>
      <c r="L139" s="3"/>
      <c r="M139" s="3"/>
      <c r="N139" s="2"/>
      <c r="O139" s="2"/>
      <c r="P139" s="2"/>
      <c r="Q139" s="2"/>
      <c r="R139" s="3"/>
      <c r="S139" s="2"/>
      <c r="T139" s="2"/>
      <c r="U139" s="5"/>
      <c r="V139" s="2"/>
      <c r="W139" s="2"/>
      <c r="X139" s="2"/>
      <c r="Y139" s="2"/>
      <c r="Z139" s="2"/>
      <c r="AA139" s="6"/>
      <c r="AB139" s="55"/>
      <c r="AC139" s="55"/>
      <c r="AD139" s="55"/>
      <c r="AE139" s="55"/>
      <c r="AF139" s="56">
        <v>11</v>
      </c>
    </row>
    <row r="140" spans="1:32" s="56" customFormat="1" ht="11.55" customHeight="1">
      <c r="A140" s="1"/>
      <c r="B140" s="3"/>
      <c r="C140" s="3"/>
      <c r="K140" s="2"/>
      <c r="L140" s="3"/>
      <c r="M140" s="3"/>
      <c r="N140" s="2"/>
      <c r="O140" s="2"/>
      <c r="P140" s="2"/>
      <c r="Q140" s="2"/>
      <c r="R140" s="3"/>
      <c r="S140" s="2"/>
      <c r="T140" s="2"/>
      <c r="U140" s="5"/>
      <c r="V140" s="2"/>
      <c r="W140" s="2"/>
      <c r="X140" s="2"/>
      <c r="Y140" s="2"/>
      <c r="Z140" s="2"/>
      <c r="AA140" s="6"/>
      <c r="AB140" s="55"/>
      <c r="AC140" s="55"/>
      <c r="AD140" s="55"/>
      <c r="AE140" s="55"/>
      <c r="AF140" s="56">
        <v>11</v>
      </c>
    </row>
    <row r="141" spans="1:32" s="56" customFormat="1" ht="11.55" customHeight="1">
      <c r="A141" s="1"/>
      <c r="B141" s="3"/>
      <c r="C141" s="3"/>
      <c r="K141" s="2"/>
      <c r="L141" s="3"/>
      <c r="M141" s="3"/>
      <c r="N141" s="2"/>
      <c r="O141" s="2"/>
      <c r="P141" s="2"/>
      <c r="Q141" s="2"/>
      <c r="R141" s="3"/>
      <c r="S141" s="2"/>
      <c r="T141" s="2"/>
      <c r="U141" s="5"/>
      <c r="V141" s="2"/>
      <c r="W141" s="2"/>
      <c r="X141" s="2"/>
      <c r="Y141" s="2"/>
      <c r="Z141" s="2"/>
      <c r="AA141" s="6"/>
      <c r="AB141" s="55"/>
      <c r="AC141" s="55"/>
      <c r="AD141" s="55"/>
      <c r="AE141" s="55"/>
      <c r="AF141" s="56">
        <v>11</v>
      </c>
    </row>
    <row r="142" spans="1:32" s="56" customFormat="1" ht="11.55" customHeight="1">
      <c r="A142" s="1"/>
      <c r="B142" s="3"/>
      <c r="C142" s="3"/>
      <c r="K142" s="2"/>
      <c r="L142" s="3"/>
      <c r="M142" s="3"/>
      <c r="N142" s="2"/>
      <c r="O142" s="2"/>
      <c r="P142" s="2"/>
      <c r="Q142" s="2"/>
      <c r="R142" s="3"/>
      <c r="S142" s="2"/>
      <c r="T142" s="2"/>
      <c r="U142" s="5"/>
      <c r="V142" s="2"/>
      <c r="W142" s="2"/>
      <c r="X142" s="2"/>
      <c r="Y142" s="2"/>
      <c r="Z142" s="2"/>
      <c r="AA142" s="6"/>
      <c r="AB142" s="55"/>
      <c r="AC142" s="55"/>
      <c r="AD142" s="55"/>
      <c r="AE142" s="55"/>
      <c r="AF142" s="56">
        <v>11</v>
      </c>
    </row>
    <row r="143" spans="1:32" s="56" customFormat="1" ht="11.55" customHeight="1">
      <c r="A143" s="1"/>
      <c r="B143" s="3"/>
      <c r="C143" s="3"/>
      <c r="K143" s="2"/>
      <c r="L143" s="3"/>
      <c r="M143" s="3"/>
      <c r="N143" s="2"/>
      <c r="O143" s="2"/>
      <c r="P143" s="2"/>
      <c r="Q143" s="2"/>
      <c r="R143" s="3"/>
      <c r="S143" s="2"/>
      <c r="T143" s="2"/>
      <c r="U143" s="5"/>
      <c r="V143" s="2"/>
      <c r="W143" s="2"/>
      <c r="X143" s="2"/>
      <c r="Y143" s="2"/>
      <c r="Z143" s="2"/>
      <c r="AA143" s="6"/>
      <c r="AB143" s="55"/>
      <c r="AC143" s="55"/>
      <c r="AD143" s="55"/>
      <c r="AE143" s="55"/>
      <c r="AF143" s="56">
        <v>11</v>
      </c>
    </row>
    <row r="144" spans="1:32" s="56" customFormat="1" ht="11.55" customHeight="1">
      <c r="A144" s="1"/>
      <c r="B144" s="3"/>
      <c r="C144" s="3"/>
      <c r="K144" s="2"/>
      <c r="L144" s="3"/>
      <c r="M144" s="3"/>
      <c r="N144" s="2"/>
      <c r="O144" s="2"/>
      <c r="P144" s="2"/>
      <c r="Q144" s="2"/>
      <c r="R144" s="3"/>
      <c r="S144" s="2"/>
      <c r="T144" s="2"/>
      <c r="U144" s="5"/>
      <c r="V144" s="2"/>
      <c r="W144" s="2"/>
      <c r="X144" s="2"/>
      <c r="Y144" s="2"/>
      <c r="Z144" s="2"/>
      <c r="AA144" s="6"/>
      <c r="AB144" s="55"/>
      <c r="AC144" s="55"/>
      <c r="AD144" s="55"/>
      <c r="AE144" s="55"/>
      <c r="AF144" s="56">
        <v>11</v>
      </c>
    </row>
    <row r="145" spans="1:32" s="56" customFormat="1" ht="11.55" customHeight="1">
      <c r="A145" s="1"/>
      <c r="B145" s="3"/>
      <c r="C145" s="3"/>
      <c r="K145" s="2"/>
      <c r="L145" s="3"/>
      <c r="M145" s="3"/>
      <c r="N145" s="2"/>
      <c r="O145" s="2"/>
      <c r="P145" s="2"/>
      <c r="Q145" s="2"/>
      <c r="R145" s="3"/>
      <c r="S145" s="2"/>
      <c r="T145" s="2"/>
      <c r="U145" s="5"/>
      <c r="V145" s="2"/>
      <c r="W145" s="2"/>
      <c r="X145" s="2"/>
      <c r="Y145" s="2"/>
      <c r="Z145" s="2"/>
      <c r="AA145" s="6"/>
      <c r="AB145" s="55"/>
      <c r="AC145" s="55"/>
      <c r="AD145" s="55"/>
      <c r="AE145" s="55"/>
      <c r="AF145" s="56">
        <v>11</v>
      </c>
    </row>
    <row r="146" spans="1:32" s="56" customFormat="1" ht="11.55" customHeight="1">
      <c r="A146" s="1"/>
      <c r="B146" s="3"/>
      <c r="C146" s="3"/>
      <c r="K146" s="2"/>
      <c r="L146" s="3"/>
      <c r="M146" s="3"/>
      <c r="N146" s="2"/>
      <c r="O146" s="2"/>
      <c r="P146" s="2"/>
      <c r="Q146" s="2"/>
      <c r="R146" s="3"/>
      <c r="S146" s="2"/>
      <c r="T146" s="2"/>
      <c r="U146" s="5"/>
      <c r="V146" s="2"/>
      <c r="W146" s="2"/>
      <c r="X146" s="2"/>
      <c r="Y146" s="2"/>
      <c r="Z146" s="2"/>
      <c r="AA146" s="6"/>
      <c r="AB146" s="55"/>
      <c r="AC146" s="55"/>
      <c r="AD146" s="55"/>
      <c r="AE146" s="55"/>
      <c r="AF146" s="56">
        <v>11</v>
      </c>
    </row>
    <row r="147" spans="1:32" s="56" customFormat="1" ht="11.55" customHeight="1">
      <c r="A147" s="1"/>
      <c r="B147" s="3"/>
      <c r="C147" s="3"/>
      <c r="K147" s="2"/>
      <c r="L147" s="3"/>
      <c r="M147" s="3"/>
      <c r="N147" s="2"/>
      <c r="O147" s="2"/>
      <c r="P147" s="2"/>
      <c r="Q147" s="2"/>
      <c r="R147" s="3"/>
      <c r="S147" s="2"/>
      <c r="T147" s="2"/>
      <c r="U147" s="5"/>
      <c r="V147" s="2"/>
      <c r="W147" s="2"/>
      <c r="X147" s="2"/>
      <c r="Y147" s="2"/>
      <c r="Z147" s="2"/>
      <c r="AA147" s="6"/>
      <c r="AB147" s="55"/>
      <c r="AC147" s="55"/>
      <c r="AD147" s="55"/>
      <c r="AE147" s="55"/>
      <c r="AF147" s="56">
        <v>11</v>
      </c>
    </row>
    <row r="148" spans="1:32" s="56" customFormat="1" ht="11.55" customHeight="1">
      <c r="A148" s="1"/>
      <c r="B148" s="3"/>
      <c r="C148" s="3"/>
      <c r="K148" s="2"/>
      <c r="L148" s="3"/>
      <c r="M148" s="3"/>
      <c r="N148" s="2"/>
      <c r="O148" s="2"/>
      <c r="P148" s="2"/>
      <c r="Q148" s="2"/>
      <c r="R148" s="3"/>
      <c r="S148" s="2"/>
      <c r="T148" s="2"/>
      <c r="U148" s="5"/>
      <c r="V148" s="2"/>
      <c r="W148" s="2"/>
      <c r="X148" s="2"/>
      <c r="Y148" s="2"/>
      <c r="Z148" s="2"/>
      <c r="AA148" s="6"/>
      <c r="AB148" s="55"/>
      <c r="AC148" s="55"/>
      <c r="AD148" s="55"/>
      <c r="AE148" s="55"/>
      <c r="AF148" s="56">
        <v>11</v>
      </c>
    </row>
    <row r="149" spans="1:32" s="56" customFormat="1" ht="11.55" customHeight="1">
      <c r="A149" s="1"/>
      <c r="B149" s="3"/>
      <c r="C149" s="3"/>
      <c r="K149" s="2"/>
      <c r="L149" s="3"/>
      <c r="M149" s="3"/>
      <c r="N149" s="2"/>
      <c r="O149" s="2"/>
      <c r="P149" s="2"/>
      <c r="Q149" s="2"/>
      <c r="R149" s="3"/>
      <c r="S149" s="2"/>
      <c r="T149" s="2"/>
      <c r="U149" s="5"/>
      <c r="V149" s="2"/>
      <c r="W149" s="2"/>
      <c r="X149" s="2"/>
      <c r="Y149" s="2"/>
      <c r="Z149" s="2"/>
      <c r="AA149" s="6"/>
      <c r="AB149" s="55"/>
      <c r="AC149" s="55"/>
      <c r="AD149" s="55"/>
      <c r="AE149" s="55"/>
      <c r="AF149" s="56">
        <v>11</v>
      </c>
    </row>
    <row r="150" spans="1:32" s="56" customFormat="1" ht="11.55" customHeight="1">
      <c r="A150" s="1"/>
      <c r="B150" s="3"/>
      <c r="C150" s="3"/>
      <c r="K150" s="2"/>
      <c r="L150" s="3"/>
      <c r="M150" s="3"/>
      <c r="N150" s="2"/>
      <c r="O150" s="2"/>
      <c r="P150" s="2"/>
      <c r="Q150" s="2"/>
      <c r="R150" s="3"/>
      <c r="S150" s="2"/>
      <c r="T150" s="2"/>
      <c r="U150" s="5"/>
      <c r="V150" s="2"/>
      <c r="W150" s="2"/>
      <c r="X150" s="2"/>
      <c r="Y150" s="2"/>
      <c r="Z150" s="2"/>
      <c r="AA150" s="6"/>
      <c r="AB150" s="55"/>
      <c r="AC150" s="55"/>
      <c r="AD150" s="55"/>
      <c r="AE150" s="55"/>
      <c r="AF150" s="56">
        <v>11</v>
      </c>
    </row>
    <row r="151" spans="1:32" s="56" customFormat="1" ht="11.55" customHeight="1">
      <c r="A151" s="1"/>
      <c r="B151" s="3"/>
      <c r="C151" s="3"/>
      <c r="K151" s="2"/>
      <c r="L151" s="3"/>
      <c r="M151" s="3"/>
      <c r="N151" s="2"/>
      <c r="O151" s="2"/>
      <c r="P151" s="2"/>
      <c r="Q151" s="2"/>
      <c r="R151" s="3"/>
      <c r="S151" s="2"/>
      <c r="T151" s="2"/>
      <c r="U151" s="5"/>
      <c r="V151" s="2"/>
      <c r="W151" s="2"/>
      <c r="X151" s="2"/>
      <c r="Y151" s="2"/>
      <c r="Z151" s="2"/>
      <c r="AA151" s="6"/>
      <c r="AB151" s="55"/>
      <c r="AC151" s="55"/>
      <c r="AD151" s="55"/>
      <c r="AE151" s="55"/>
      <c r="AF151" s="56">
        <v>11</v>
      </c>
    </row>
    <row r="152" spans="1:32" s="56" customFormat="1" ht="11.55" customHeight="1">
      <c r="A152" s="1"/>
      <c r="B152" s="3"/>
      <c r="C152" s="3"/>
      <c r="K152" s="2"/>
      <c r="L152" s="3"/>
      <c r="M152" s="3"/>
      <c r="N152" s="2"/>
      <c r="O152" s="2"/>
      <c r="P152" s="2"/>
      <c r="Q152" s="2"/>
      <c r="R152" s="3"/>
      <c r="S152" s="2"/>
      <c r="T152" s="2"/>
      <c r="U152" s="5"/>
      <c r="V152" s="2"/>
      <c r="W152" s="2"/>
      <c r="X152" s="2"/>
      <c r="Y152" s="2"/>
      <c r="Z152" s="2"/>
      <c r="AA152" s="6"/>
      <c r="AB152" s="55"/>
      <c r="AC152" s="55"/>
      <c r="AD152" s="55"/>
      <c r="AE152" s="55"/>
      <c r="AF152" s="56">
        <v>11</v>
      </c>
    </row>
    <row r="153" spans="1:32" s="56" customFormat="1" ht="11.55" customHeight="1">
      <c r="A153" s="1"/>
      <c r="B153" s="3"/>
      <c r="C153" s="3"/>
      <c r="K153" s="2"/>
      <c r="L153" s="3"/>
      <c r="M153" s="3"/>
      <c r="N153" s="2"/>
      <c r="O153" s="2"/>
      <c r="P153" s="2"/>
      <c r="Q153" s="2"/>
      <c r="R153" s="3"/>
      <c r="S153" s="2"/>
      <c r="T153" s="2"/>
      <c r="U153" s="5"/>
      <c r="V153" s="2"/>
      <c r="W153" s="2"/>
      <c r="X153" s="2"/>
      <c r="Y153" s="2"/>
      <c r="Z153" s="2"/>
      <c r="AA153" s="6"/>
      <c r="AB153" s="55"/>
      <c r="AC153" s="55"/>
      <c r="AD153" s="55"/>
      <c r="AE153" s="55"/>
      <c r="AF153" s="56">
        <v>11</v>
      </c>
    </row>
    <row r="154" spans="1:32" s="56" customFormat="1" ht="11.55" customHeight="1">
      <c r="A154" s="1"/>
      <c r="B154" s="3"/>
      <c r="C154" s="3"/>
      <c r="K154" s="2"/>
      <c r="L154" s="3"/>
      <c r="M154" s="3"/>
      <c r="N154" s="2"/>
      <c r="O154" s="2"/>
      <c r="P154" s="2"/>
      <c r="Q154" s="2"/>
      <c r="R154" s="3"/>
      <c r="S154" s="2"/>
      <c r="T154" s="2"/>
      <c r="U154" s="5"/>
      <c r="V154" s="2"/>
      <c r="W154" s="2"/>
      <c r="X154" s="2"/>
      <c r="Y154" s="2"/>
      <c r="Z154" s="2"/>
      <c r="AA154" s="6"/>
      <c r="AB154" s="55"/>
      <c r="AC154" s="55"/>
      <c r="AD154" s="55"/>
      <c r="AE154" s="55"/>
      <c r="AF154" s="56">
        <v>11</v>
      </c>
    </row>
    <row r="155" spans="1:32" s="56" customFormat="1" ht="11.55" customHeight="1">
      <c r="A155" s="1"/>
      <c r="B155" s="3"/>
      <c r="C155" s="3"/>
      <c r="K155" s="2"/>
      <c r="L155" s="3"/>
      <c r="M155" s="3"/>
      <c r="N155" s="2"/>
      <c r="O155" s="2"/>
      <c r="P155" s="2"/>
      <c r="Q155" s="2"/>
      <c r="R155" s="3"/>
      <c r="S155" s="2"/>
      <c r="T155" s="2"/>
      <c r="U155" s="5"/>
      <c r="V155" s="2"/>
      <c r="W155" s="2"/>
      <c r="X155" s="2"/>
      <c r="Y155" s="2"/>
      <c r="Z155" s="2"/>
      <c r="AA155" s="6"/>
      <c r="AB155" s="55"/>
      <c r="AC155" s="55"/>
      <c r="AD155" s="55"/>
      <c r="AE155" s="55"/>
      <c r="AF155" s="56">
        <v>11</v>
      </c>
    </row>
    <row r="156" spans="1:32" s="56" customFormat="1" ht="11.55" customHeight="1">
      <c r="A156" s="1"/>
      <c r="B156" s="3"/>
      <c r="C156" s="3"/>
      <c r="K156" s="2"/>
      <c r="L156" s="3"/>
      <c r="M156" s="3"/>
      <c r="N156" s="2"/>
      <c r="O156" s="2"/>
      <c r="P156" s="2"/>
      <c r="Q156" s="2"/>
      <c r="R156" s="3"/>
      <c r="S156" s="2"/>
      <c r="T156" s="2"/>
      <c r="U156" s="5"/>
      <c r="V156" s="2"/>
      <c r="W156" s="2"/>
      <c r="X156" s="2"/>
      <c r="Y156" s="2"/>
      <c r="Z156" s="2"/>
      <c r="AA156" s="6"/>
      <c r="AB156" s="55"/>
      <c r="AC156" s="55"/>
      <c r="AD156" s="55"/>
      <c r="AE156" s="55"/>
      <c r="AF156" s="56">
        <v>11</v>
      </c>
    </row>
    <row r="157" spans="1:32" s="56" customFormat="1" ht="11.55" customHeight="1">
      <c r="A157" s="1"/>
      <c r="B157" s="3"/>
      <c r="C157" s="3"/>
      <c r="K157" s="2"/>
      <c r="L157" s="3"/>
      <c r="M157" s="3"/>
      <c r="N157" s="2"/>
      <c r="O157" s="2"/>
      <c r="P157" s="2"/>
      <c r="Q157" s="2"/>
      <c r="R157" s="3"/>
      <c r="S157" s="2"/>
      <c r="T157" s="2"/>
      <c r="U157" s="5"/>
      <c r="V157" s="2"/>
      <c r="W157" s="2"/>
      <c r="X157" s="2"/>
      <c r="Y157" s="2"/>
      <c r="Z157" s="2"/>
      <c r="AA157" s="6"/>
      <c r="AB157" s="55"/>
      <c r="AC157" s="55"/>
      <c r="AD157" s="55"/>
      <c r="AE157" s="55"/>
      <c r="AF157" s="56">
        <v>11</v>
      </c>
    </row>
    <row r="158" spans="1:32" s="56" customFormat="1" ht="11.55" customHeight="1">
      <c r="A158" s="1"/>
      <c r="B158" s="3"/>
      <c r="C158" s="3"/>
      <c r="K158" s="2"/>
      <c r="L158" s="3"/>
      <c r="M158" s="3"/>
      <c r="N158" s="2"/>
      <c r="O158" s="2"/>
      <c r="P158" s="2"/>
      <c r="Q158" s="2"/>
      <c r="R158" s="3"/>
      <c r="S158" s="2"/>
      <c r="T158" s="2"/>
      <c r="U158" s="5"/>
      <c r="V158" s="2"/>
      <c r="W158" s="2"/>
      <c r="X158" s="2"/>
      <c r="Y158" s="2"/>
      <c r="Z158" s="2"/>
      <c r="AA158" s="6"/>
      <c r="AB158" s="55"/>
      <c r="AC158" s="55"/>
      <c r="AD158" s="55"/>
      <c r="AE158" s="55"/>
      <c r="AF158" s="56">
        <v>11</v>
      </c>
    </row>
    <row r="159" spans="1:32" s="56" customFormat="1" ht="11.55" customHeight="1">
      <c r="A159" s="1"/>
      <c r="B159" s="3"/>
      <c r="C159" s="3"/>
      <c r="K159" s="2"/>
      <c r="L159" s="3"/>
      <c r="M159" s="3"/>
      <c r="N159" s="2"/>
      <c r="O159" s="2"/>
      <c r="P159" s="2"/>
      <c r="Q159" s="2"/>
      <c r="R159" s="3"/>
      <c r="S159" s="2"/>
      <c r="T159" s="2"/>
      <c r="U159" s="5"/>
      <c r="V159" s="2"/>
      <c r="W159" s="2"/>
      <c r="X159" s="2"/>
      <c r="Y159" s="2"/>
      <c r="Z159" s="2"/>
      <c r="AA159" s="6"/>
      <c r="AB159" s="55"/>
      <c r="AC159" s="55"/>
      <c r="AD159" s="55"/>
      <c r="AE159" s="55"/>
      <c r="AF159" s="56">
        <v>11</v>
      </c>
    </row>
    <row r="160" spans="1:32" s="56" customFormat="1" ht="11.55" customHeight="1">
      <c r="A160" s="1"/>
      <c r="B160" s="3"/>
      <c r="C160" s="3"/>
      <c r="K160" s="2"/>
      <c r="L160" s="3"/>
      <c r="M160" s="3"/>
      <c r="N160" s="2"/>
      <c r="O160" s="2"/>
      <c r="P160" s="2"/>
      <c r="Q160" s="2"/>
      <c r="R160" s="3"/>
      <c r="S160" s="2"/>
      <c r="T160" s="2"/>
      <c r="U160" s="5"/>
      <c r="V160" s="2"/>
      <c r="W160" s="2"/>
      <c r="X160" s="2"/>
      <c r="Y160" s="2"/>
      <c r="Z160" s="2"/>
      <c r="AA160" s="6"/>
      <c r="AB160" s="55"/>
      <c r="AC160" s="55"/>
      <c r="AD160" s="55"/>
      <c r="AE160" s="55"/>
      <c r="AF160" s="56">
        <v>11</v>
      </c>
    </row>
    <row r="161" spans="1:32" s="56" customFormat="1" ht="11.55" customHeight="1">
      <c r="A161" s="1"/>
      <c r="B161" s="3"/>
      <c r="C161" s="3"/>
      <c r="K161" s="2"/>
      <c r="L161" s="3"/>
      <c r="M161" s="3"/>
      <c r="N161" s="2"/>
      <c r="O161" s="2"/>
      <c r="P161" s="2"/>
      <c r="Q161" s="2"/>
      <c r="R161" s="3"/>
      <c r="S161" s="2"/>
      <c r="T161" s="2"/>
      <c r="U161" s="5"/>
      <c r="V161" s="2"/>
      <c r="W161" s="2"/>
      <c r="X161" s="2"/>
      <c r="Y161" s="2"/>
      <c r="Z161" s="2"/>
      <c r="AA161" s="6"/>
      <c r="AB161" s="55"/>
      <c r="AC161" s="55"/>
      <c r="AD161" s="55"/>
      <c r="AE161" s="55"/>
      <c r="AF161" s="56">
        <v>11</v>
      </c>
    </row>
    <row r="162" spans="1:32" s="56" customFormat="1" ht="11.55" customHeight="1">
      <c r="A162" s="1"/>
      <c r="B162" s="3"/>
      <c r="C162" s="3"/>
      <c r="K162" s="2"/>
      <c r="L162" s="3"/>
      <c r="M162" s="3"/>
      <c r="N162" s="2"/>
      <c r="O162" s="2"/>
      <c r="P162" s="2"/>
      <c r="Q162" s="2"/>
      <c r="R162" s="3"/>
      <c r="S162" s="2"/>
      <c r="T162" s="2"/>
      <c r="U162" s="5"/>
      <c r="V162" s="2"/>
      <c r="W162" s="2"/>
      <c r="X162" s="2"/>
      <c r="Y162" s="2"/>
      <c r="Z162" s="2"/>
      <c r="AA162" s="6"/>
      <c r="AB162" s="55"/>
      <c r="AC162" s="55"/>
      <c r="AD162" s="55"/>
      <c r="AE162" s="55"/>
      <c r="AF162" s="56">
        <v>11</v>
      </c>
    </row>
    <row r="163" spans="1:32" s="56" customFormat="1" ht="11.55" customHeight="1">
      <c r="A163" s="1"/>
      <c r="B163" s="3"/>
      <c r="C163" s="3"/>
      <c r="K163" s="2"/>
      <c r="L163" s="3"/>
      <c r="M163" s="3"/>
      <c r="N163" s="2"/>
      <c r="O163" s="2"/>
      <c r="P163" s="2"/>
      <c r="Q163" s="2"/>
      <c r="R163" s="3"/>
      <c r="S163" s="2"/>
      <c r="T163" s="2"/>
      <c r="U163" s="5"/>
      <c r="V163" s="2"/>
      <c r="W163" s="2"/>
      <c r="X163" s="2"/>
      <c r="Y163" s="2"/>
      <c r="Z163" s="2"/>
      <c r="AA163" s="6"/>
      <c r="AB163" s="55"/>
      <c r="AC163" s="55"/>
      <c r="AD163" s="55"/>
      <c r="AE163" s="55"/>
      <c r="AF163" s="56">
        <v>11</v>
      </c>
    </row>
    <row r="164" spans="1:32" s="56" customFormat="1" ht="11.55" customHeight="1">
      <c r="A164" s="1"/>
      <c r="B164" s="3"/>
      <c r="C164" s="3"/>
      <c r="K164" s="2"/>
      <c r="L164" s="3"/>
      <c r="M164" s="3"/>
      <c r="N164" s="2"/>
      <c r="O164" s="2"/>
      <c r="P164" s="2"/>
      <c r="Q164" s="2"/>
      <c r="R164" s="3"/>
      <c r="S164" s="2"/>
      <c r="T164" s="2"/>
      <c r="U164" s="5"/>
      <c r="V164" s="2"/>
      <c r="W164" s="2"/>
      <c r="X164" s="2"/>
      <c r="Y164" s="2"/>
      <c r="Z164" s="2"/>
      <c r="AA164" s="6"/>
      <c r="AB164" s="55"/>
      <c r="AC164" s="55"/>
      <c r="AD164" s="55"/>
      <c r="AE164" s="55"/>
      <c r="AF164" s="56">
        <v>11</v>
      </c>
    </row>
    <row r="165" spans="1:32" s="56" customFormat="1" ht="11.55" customHeight="1">
      <c r="A165" s="1"/>
      <c r="B165" s="3"/>
      <c r="C165" s="3"/>
      <c r="K165" s="2"/>
      <c r="L165" s="3"/>
      <c r="M165" s="3"/>
      <c r="N165" s="2"/>
      <c r="O165" s="2"/>
      <c r="P165" s="2"/>
      <c r="Q165" s="2"/>
      <c r="R165" s="3"/>
      <c r="S165" s="2"/>
      <c r="T165" s="2"/>
      <c r="U165" s="5"/>
      <c r="V165" s="2"/>
      <c r="W165" s="2"/>
      <c r="X165" s="2"/>
      <c r="Y165" s="2"/>
      <c r="Z165" s="2"/>
      <c r="AA165" s="6"/>
      <c r="AB165" s="55"/>
      <c r="AC165" s="55"/>
      <c r="AD165" s="55"/>
      <c r="AE165" s="55"/>
      <c r="AF165" s="56">
        <v>11</v>
      </c>
    </row>
    <row r="166" spans="1:32" s="56" customFormat="1" ht="11.55" customHeight="1">
      <c r="A166" s="1"/>
      <c r="B166" s="3"/>
      <c r="C166" s="3"/>
      <c r="K166" s="2"/>
      <c r="L166" s="3"/>
      <c r="M166" s="3"/>
      <c r="N166" s="2"/>
      <c r="O166" s="2"/>
      <c r="P166" s="2"/>
      <c r="Q166" s="2"/>
      <c r="R166" s="3"/>
      <c r="S166" s="2"/>
      <c r="T166" s="2"/>
      <c r="U166" s="5"/>
      <c r="V166" s="2"/>
      <c r="W166" s="2"/>
      <c r="X166" s="2"/>
      <c r="Y166" s="2"/>
      <c r="Z166" s="2"/>
      <c r="AA166" s="6"/>
      <c r="AB166" s="55"/>
      <c r="AC166" s="55"/>
      <c r="AD166" s="55"/>
      <c r="AE166" s="55"/>
      <c r="AF166" s="56">
        <v>11</v>
      </c>
    </row>
    <row r="167" spans="1:32" s="56" customFormat="1" ht="11.55" customHeight="1">
      <c r="A167" s="1"/>
      <c r="B167" s="3"/>
      <c r="C167" s="3"/>
      <c r="K167" s="2"/>
      <c r="L167" s="3"/>
      <c r="M167" s="3"/>
      <c r="N167" s="2"/>
      <c r="O167" s="2"/>
      <c r="P167" s="2"/>
      <c r="Q167" s="2"/>
      <c r="R167" s="3"/>
      <c r="S167" s="2"/>
      <c r="T167" s="2"/>
      <c r="U167" s="5"/>
      <c r="V167" s="2"/>
      <c r="W167" s="2"/>
      <c r="X167" s="2"/>
      <c r="Y167" s="2"/>
      <c r="Z167" s="2"/>
      <c r="AA167" s="6"/>
      <c r="AB167" s="55"/>
      <c r="AC167" s="55"/>
      <c r="AD167" s="55"/>
      <c r="AE167" s="55"/>
      <c r="AF167" s="56">
        <v>11</v>
      </c>
    </row>
    <row r="168" spans="1:32" s="56" customFormat="1" ht="11.55" customHeight="1">
      <c r="A168" s="1"/>
      <c r="B168" s="3"/>
      <c r="C168" s="3"/>
      <c r="K168" s="2"/>
      <c r="L168" s="3"/>
      <c r="M168" s="3"/>
      <c r="N168" s="2"/>
      <c r="O168" s="2"/>
      <c r="P168" s="2"/>
      <c r="Q168" s="2"/>
      <c r="R168" s="3"/>
      <c r="S168" s="2"/>
      <c r="T168" s="2"/>
      <c r="U168" s="5"/>
      <c r="V168" s="2"/>
      <c r="W168" s="2"/>
      <c r="X168" s="2"/>
      <c r="Y168" s="2"/>
      <c r="Z168" s="2"/>
      <c r="AA168" s="6"/>
      <c r="AB168" s="55"/>
      <c r="AC168" s="55"/>
      <c r="AD168" s="55"/>
      <c r="AE168" s="55"/>
      <c r="AF168" s="56">
        <v>11</v>
      </c>
    </row>
    <row r="169" spans="1:32" s="56" customFormat="1" ht="11.55" customHeight="1">
      <c r="A169" s="1"/>
      <c r="B169" s="3"/>
      <c r="C169" s="3"/>
      <c r="K169" s="2"/>
      <c r="L169" s="3"/>
      <c r="M169" s="3"/>
      <c r="N169" s="2"/>
      <c r="O169" s="2"/>
      <c r="P169" s="2"/>
      <c r="Q169" s="2"/>
      <c r="R169" s="3"/>
      <c r="S169" s="2"/>
      <c r="T169" s="2"/>
      <c r="U169" s="5"/>
      <c r="V169" s="2"/>
      <c r="W169" s="2"/>
      <c r="X169" s="2"/>
      <c r="Y169" s="2"/>
      <c r="Z169" s="2"/>
      <c r="AA169" s="6"/>
      <c r="AB169" s="55"/>
      <c r="AC169" s="55"/>
      <c r="AD169" s="55"/>
      <c r="AE169" s="55"/>
      <c r="AF169" s="56">
        <v>11</v>
      </c>
    </row>
    <row r="170" spans="1:32" s="56" customFormat="1" ht="11.55" customHeight="1">
      <c r="A170" s="1"/>
      <c r="B170" s="3"/>
      <c r="C170" s="3"/>
      <c r="K170" s="2"/>
      <c r="L170" s="3"/>
      <c r="M170" s="3"/>
      <c r="N170" s="2"/>
      <c r="O170" s="2"/>
      <c r="P170" s="2"/>
      <c r="Q170" s="2"/>
      <c r="R170" s="3"/>
      <c r="S170" s="2"/>
      <c r="T170" s="2"/>
      <c r="U170" s="5"/>
      <c r="V170" s="2"/>
      <c r="W170" s="2"/>
      <c r="X170" s="2"/>
      <c r="Y170" s="2"/>
      <c r="Z170" s="2"/>
      <c r="AA170" s="6"/>
      <c r="AB170" s="55"/>
      <c r="AC170" s="55"/>
      <c r="AD170" s="55"/>
      <c r="AE170" s="55"/>
      <c r="AF170" s="56">
        <v>11</v>
      </c>
    </row>
    <row r="171" spans="1:32" s="56" customFormat="1" ht="11.55" customHeight="1">
      <c r="A171" s="1"/>
      <c r="B171" s="3"/>
      <c r="C171" s="3"/>
      <c r="K171" s="2"/>
      <c r="L171" s="3"/>
      <c r="M171" s="3"/>
      <c r="N171" s="2"/>
      <c r="O171" s="2"/>
      <c r="P171" s="2"/>
      <c r="Q171" s="2"/>
      <c r="R171" s="3"/>
      <c r="S171" s="2"/>
      <c r="T171" s="2"/>
      <c r="U171" s="5"/>
      <c r="V171" s="2"/>
      <c r="W171" s="2"/>
      <c r="X171" s="2"/>
      <c r="Y171" s="2"/>
      <c r="Z171" s="2"/>
      <c r="AA171" s="6"/>
      <c r="AB171" s="55"/>
      <c r="AC171" s="55"/>
      <c r="AD171" s="55"/>
      <c r="AE171" s="55"/>
      <c r="AF171" s="56">
        <v>11</v>
      </c>
    </row>
    <row r="172" spans="1:32" s="56" customFormat="1" ht="11.55" customHeight="1">
      <c r="A172" s="1"/>
      <c r="B172" s="3"/>
      <c r="C172" s="3"/>
      <c r="K172" s="2"/>
      <c r="L172" s="3"/>
      <c r="M172" s="3"/>
      <c r="N172" s="2"/>
      <c r="O172" s="2"/>
      <c r="P172" s="2"/>
      <c r="Q172" s="2"/>
      <c r="R172" s="3"/>
      <c r="S172" s="2"/>
      <c r="T172" s="2"/>
      <c r="U172" s="5"/>
      <c r="V172" s="2"/>
      <c r="W172" s="2"/>
      <c r="X172" s="2"/>
      <c r="Y172" s="2"/>
      <c r="Z172" s="2"/>
      <c r="AA172" s="6"/>
      <c r="AB172" s="55"/>
      <c r="AC172" s="55"/>
      <c r="AD172" s="55"/>
      <c r="AE172" s="55"/>
      <c r="AF172" s="56">
        <v>11</v>
      </c>
    </row>
    <row r="173" spans="1:32" s="56" customFormat="1" ht="11.55" customHeight="1">
      <c r="A173" s="1"/>
      <c r="B173" s="3"/>
      <c r="C173" s="3"/>
      <c r="K173" s="2"/>
      <c r="L173" s="3"/>
      <c r="M173" s="3"/>
      <c r="N173" s="2"/>
      <c r="O173" s="2"/>
      <c r="P173" s="2"/>
      <c r="Q173" s="2"/>
      <c r="R173" s="3"/>
      <c r="S173" s="2"/>
      <c r="T173" s="2"/>
      <c r="U173" s="5"/>
      <c r="V173" s="2"/>
      <c r="W173" s="2"/>
      <c r="X173" s="2"/>
      <c r="Y173" s="2"/>
      <c r="Z173" s="2"/>
      <c r="AA173" s="6"/>
      <c r="AB173" s="55"/>
      <c r="AC173" s="55"/>
      <c r="AD173" s="55"/>
      <c r="AE173" s="55"/>
      <c r="AF173" s="56">
        <v>11</v>
      </c>
    </row>
    <row r="174" spans="1:32" s="56" customFormat="1" ht="11.55" customHeight="1">
      <c r="A174" s="1"/>
      <c r="B174" s="3"/>
      <c r="C174" s="3"/>
      <c r="K174" s="2"/>
      <c r="L174" s="3"/>
      <c r="M174" s="3"/>
      <c r="N174" s="2"/>
      <c r="O174" s="2"/>
      <c r="P174" s="2"/>
      <c r="Q174" s="2"/>
      <c r="R174" s="3"/>
      <c r="S174" s="2"/>
      <c r="T174" s="2"/>
      <c r="U174" s="5"/>
      <c r="V174" s="2"/>
      <c r="W174" s="2"/>
      <c r="X174" s="2"/>
      <c r="Y174" s="2"/>
      <c r="Z174" s="2"/>
      <c r="AA174" s="6"/>
      <c r="AB174" s="55"/>
      <c r="AC174" s="55"/>
      <c r="AD174" s="55"/>
      <c r="AE174" s="55"/>
      <c r="AF174" s="56">
        <v>11</v>
      </c>
    </row>
    <row r="175" spans="1:32" s="56" customFormat="1" ht="11.55" customHeight="1">
      <c r="A175" s="1"/>
      <c r="B175" s="3"/>
      <c r="C175" s="3"/>
      <c r="K175" s="2"/>
      <c r="L175" s="3"/>
      <c r="M175" s="3"/>
      <c r="N175" s="2"/>
      <c r="O175" s="2"/>
      <c r="P175" s="2"/>
      <c r="Q175" s="2"/>
      <c r="R175" s="3"/>
      <c r="S175" s="2"/>
      <c r="T175" s="2"/>
      <c r="U175" s="5"/>
      <c r="V175" s="2"/>
      <c r="W175" s="2"/>
      <c r="X175" s="2"/>
      <c r="Y175" s="2"/>
      <c r="Z175" s="2"/>
      <c r="AA175" s="6"/>
      <c r="AB175" s="55"/>
      <c r="AC175" s="55"/>
      <c r="AD175" s="55"/>
      <c r="AE175" s="55"/>
      <c r="AF175" s="56">
        <v>11</v>
      </c>
    </row>
    <row r="176" spans="1:32" s="56" customFormat="1" ht="11.55" customHeight="1">
      <c r="A176" s="1"/>
      <c r="B176" s="3"/>
      <c r="C176" s="3"/>
      <c r="K176" s="2"/>
      <c r="L176" s="3"/>
      <c r="M176" s="3"/>
      <c r="N176" s="2"/>
      <c r="O176" s="2"/>
      <c r="P176" s="2"/>
      <c r="Q176" s="2"/>
      <c r="R176" s="3"/>
      <c r="S176" s="2"/>
      <c r="T176" s="2"/>
      <c r="U176" s="5"/>
      <c r="V176" s="2"/>
      <c r="W176" s="2"/>
      <c r="X176" s="2"/>
      <c r="Y176" s="2"/>
      <c r="Z176" s="2"/>
      <c r="AA176" s="6"/>
      <c r="AB176" s="55"/>
      <c r="AC176" s="55"/>
      <c r="AD176" s="55"/>
      <c r="AE176" s="55"/>
      <c r="AF176" s="56">
        <v>11</v>
      </c>
    </row>
    <row r="177" spans="1:32" s="56" customFormat="1" ht="11.55" customHeight="1">
      <c r="A177" s="1"/>
      <c r="B177" s="3"/>
      <c r="C177" s="3"/>
      <c r="K177" s="2"/>
      <c r="L177" s="3"/>
      <c r="M177" s="3"/>
      <c r="N177" s="2"/>
      <c r="O177" s="2"/>
      <c r="P177" s="2"/>
      <c r="Q177" s="2"/>
      <c r="R177" s="3"/>
      <c r="S177" s="2"/>
      <c r="T177" s="2"/>
      <c r="U177" s="5"/>
      <c r="V177" s="2"/>
      <c r="W177" s="2"/>
      <c r="X177" s="2"/>
      <c r="Y177" s="2"/>
      <c r="Z177" s="2"/>
      <c r="AA177" s="6"/>
      <c r="AB177" s="55"/>
      <c r="AC177" s="55"/>
      <c r="AD177" s="55"/>
      <c r="AE177" s="55"/>
      <c r="AF177" s="56">
        <v>11</v>
      </c>
    </row>
    <row r="178" spans="1:32" s="56" customFormat="1" ht="11.55" customHeight="1">
      <c r="A178" s="1"/>
      <c r="B178" s="3"/>
      <c r="C178" s="3"/>
      <c r="K178" s="2"/>
      <c r="L178" s="3"/>
      <c r="M178" s="3"/>
      <c r="N178" s="2"/>
      <c r="O178" s="2"/>
      <c r="P178" s="2"/>
      <c r="Q178" s="2"/>
      <c r="R178" s="3"/>
      <c r="S178" s="2"/>
      <c r="T178" s="2"/>
      <c r="U178" s="5"/>
      <c r="V178" s="2"/>
      <c r="W178" s="2"/>
      <c r="X178" s="2"/>
      <c r="Y178" s="2"/>
      <c r="Z178" s="2"/>
      <c r="AA178" s="6"/>
      <c r="AB178" s="55"/>
      <c r="AC178" s="55"/>
      <c r="AD178" s="55"/>
      <c r="AE178" s="55"/>
      <c r="AF178" s="56">
        <v>11</v>
      </c>
    </row>
    <row r="179" spans="1:32" s="56" customFormat="1" ht="11.55" customHeight="1">
      <c r="A179" s="1"/>
      <c r="B179" s="3"/>
      <c r="C179" s="3"/>
      <c r="K179" s="2"/>
      <c r="L179" s="3"/>
      <c r="M179" s="3"/>
      <c r="N179" s="2"/>
      <c r="O179" s="2"/>
      <c r="P179" s="2"/>
      <c r="Q179" s="2"/>
      <c r="R179" s="3"/>
      <c r="S179" s="2"/>
      <c r="T179" s="2"/>
      <c r="U179" s="5"/>
      <c r="V179" s="2"/>
      <c r="W179" s="2"/>
      <c r="X179" s="2"/>
      <c r="Y179" s="2"/>
      <c r="Z179" s="2"/>
      <c r="AA179" s="6"/>
      <c r="AB179" s="55"/>
      <c r="AC179" s="55"/>
      <c r="AD179" s="55"/>
      <c r="AE179" s="55"/>
      <c r="AF179" s="56">
        <v>11</v>
      </c>
    </row>
    <row r="180" spans="1:32" s="56" customFormat="1" ht="11.55" customHeight="1">
      <c r="A180" s="1"/>
      <c r="B180" s="3"/>
      <c r="C180" s="3"/>
      <c r="K180" s="2"/>
      <c r="L180" s="3"/>
      <c r="M180" s="3"/>
      <c r="N180" s="2"/>
      <c r="O180" s="2"/>
      <c r="P180" s="2"/>
      <c r="Q180" s="2"/>
      <c r="R180" s="3"/>
      <c r="S180" s="2"/>
      <c r="T180" s="2"/>
      <c r="U180" s="5"/>
      <c r="V180" s="2"/>
      <c r="W180" s="2"/>
      <c r="X180" s="2"/>
      <c r="Y180" s="2"/>
      <c r="Z180" s="2"/>
      <c r="AA180" s="6"/>
      <c r="AB180" s="55"/>
      <c r="AC180" s="55"/>
      <c r="AD180" s="55"/>
      <c r="AE180" s="55"/>
      <c r="AF180" s="56">
        <v>11</v>
      </c>
    </row>
    <row r="181" spans="1:32" s="56" customFormat="1" ht="11.55" customHeight="1">
      <c r="A181" s="1"/>
      <c r="B181" s="3"/>
      <c r="C181" s="3"/>
      <c r="K181" s="2"/>
      <c r="L181" s="3"/>
      <c r="M181" s="3"/>
      <c r="N181" s="2"/>
      <c r="O181" s="2"/>
      <c r="P181" s="2"/>
      <c r="Q181" s="2"/>
      <c r="R181" s="3"/>
      <c r="S181" s="2"/>
      <c r="T181" s="2"/>
      <c r="U181" s="5"/>
      <c r="V181" s="2"/>
      <c r="W181" s="2"/>
      <c r="X181" s="2"/>
      <c r="Y181" s="2"/>
      <c r="Z181" s="2"/>
      <c r="AA181" s="6"/>
      <c r="AB181" s="55"/>
      <c r="AC181" s="55"/>
      <c r="AD181" s="55"/>
      <c r="AE181" s="55"/>
      <c r="AF181" s="56">
        <v>11</v>
      </c>
    </row>
    <row r="182" spans="1:32" s="56" customFormat="1" ht="11.55" customHeight="1">
      <c r="A182" s="1"/>
      <c r="B182" s="3"/>
      <c r="C182" s="3"/>
      <c r="K182" s="2"/>
      <c r="L182" s="3"/>
      <c r="M182" s="3"/>
      <c r="N182" s="2"/>
      <c r="O182" s="2"/>
      <c r="P182" s="2"/>
      <c r="Q182" s="2"/>
      <c r="R182" s="3"/>
      <c r="S182" s="2"/>
      <c r="T182" s="2"/>
      <c r="U182" s="5"/>
      <c r="V182" s="2"/>
      <c r="W182" s="2"/>
      <c r="X182" s="2"/>
      <c r="Y182" s="2"/>
      <c r="Z182" s="2"/>
      <c r="AA182" s="6"/>
      <c r="AB182" s="55"/>
      <c r="AC182" s="55"/>
      <c r="AD182" s="55"/>
      <c r="AE182" s="55"/>
      <c r="AF182" s="56">
        <v>11</v>
      </c>
    </row>
    <row r="183" spans="1:32" s="56" customFormat="1" ht="11.55" customHeight="1">
      <c r="A183" s="1"/>
      <c r="B183" s="3"/>
      <c r="C183" s="3"/>
      <c r="K183" s="2"/>
      <c r="L183" s="3"/>
      <c r="M183" s="3"/>
      <c r="N183" s="2"/>
      <c r="O183" s="2"/>
      <c r="P183" s="2"/>
      <c r="Q183" s="2"/>
      <c r="R183" s="3"/>
      <c r="S183" s="2"/>
      <c r="T183" s="2"/>
      <c r="U183" s="5"/>
      <c r="V183" s="2"/>
      <c r="W183" s="2"/>
      <c r="X183" s="2"/>
      <c r="Y183" s="2"/>
      <c r="Z183" s="2"/>
      <c r="AA183" s="6"/>
      <c r="AB183" s="55"/>
      <c r="AC183" s="55"/>
      <c r="AD183" s="55"/>
      <c r="AE183" s="55"/>
      <c r="AF183" s="56">
        <v>11</v>
      </c>
    </row>
    <row r="184" spans="1:32" s="56" customFormat="1" ht="11.55" customHeight="1">
      <c r="A184" s="1"/>
      <c r="B184" s="3"/>
      <c r="C184" s="3"/>
      <c r="K184" s="2"/>
      <c r="L184" s="3"/>
      <c r="M184" s="3"/>
      <c r="N184" s="2"/>
      <c r="O184" s="2"/>
      <c r="P184" s="2"/>
      <c r="Q184" s="2"/>
      <c r="R184" s="3"/>
      <c r="S184" s="2"/>
      <c r="T184" s="2"/>
      <c r="U184" s="5"/>
      <c r="V184" s="2"/>
      <c r="W184" s="2"/>
      <c r="X184" s="2"/>
      <c r="Y184" s="2"/>
      <c r="Z184" s="2"/>
      <c r="AA184" s="6"/>
      <c r="AB184" s="55"/>
      <c r="AC184" s="55"/>
      <c r="AD184" s="55"/>
      <c r="AE184" s="55"/>
      <c r="AF184" s="56">
        <v>11</v>
      </c>
    </row>
    <row r="185" spans="1:32" s="56" customFormat="1" ht="11.55" customHeight="1">
      <c r="A185" s="1"/>
      <c r="B185" s="3"/>
      <c r="C185" s="3"/>
      <c r="K185" s="2"/>
      <c r="L185" s="3"/>
      <c r="M185" s="3"/>
      <c r="N185" s="2"/>
      <c r="O185" s="2"/>
      <c r="P185" s="2"/>
      <c r="Q185" s="2"/>
      <c r="R185" s="3"/>
      <c r="S185" s="2"/>
      <c r="T185" s="2"/>
      <c r="U185" s="5"/>
      <c r="V185" s="2"/>
      <c r="W185" s="2"/>
      <c r="X185" s="2"/>
      <c r="Y185" s="2"/>
      <c r="Z185" s="2"/>
      <c r="AA185" s="6"/>
      <c r="AB185" s="55"/>
      <c r="AC185" s="55"/>
      <c r="AD185" s="55"/>
      <c r="AE185" s="55"/>
      <c r="AF185" s="56">
        <v>11</v>
      </c>
    </row>
    <row r="186" spans="1:32" s="56" customFormat="1" ht="11.55" customHeight="1">
      <c r="A186" s="1"/>
      <c r="B186" s="3"/>
      <c r="C186" s="3"/>
      <c r="K186" s="2"/>
      <c r="L186" s="3"/>
      <c r="M186" s="3"/>
      <c r="N186" s="2"/>
      <c r="O186" s="2"/>
      <c r="P186" s="2"/>
      <c r="Q186" s="2"/>
      <c r="R186" s="3"/>
      <c r="S186" s="2"/>
      <c r="T186" s="2"/>
      <c r="U186" s="5"/>
      <c r="V186" s="2"/>
      <c r="W186" s="2"/>
      <c r="X186" s="2"/>
      <c r="Y186" s="2"/>
      <c r="Z186" s="2"/>
      <c r="AA186" s="6"/>
      <c r="AB186" s="55"/>
      <c r="AC186" s="55"/>
      <c r="AD186" s="55"/>
      <c r="AE186" s="55"/>
      <c r="AF186" s="56">
        <v>11</v>
      </c>
    </row>
    <row r="187" spans="1:32" s="56" customFormat="1" ht="11.55" customHeight="1">
      <c r="A187" s="1"/>
      <c r="B187" s="3"/>
      <c r="C187" s="3"/>
      <c r="K187" s="2"/>
      <c r="L187" s="3"/>
      <c r="M187" s="3"/>
      <c r="N187" s="2"/>
      <c r="O187" s="2"/>
      <c r="P187" s="2"/>
      <c r="Q187" s="2"/>
      <c r="R187" s="3"/>
      <c r="S187" s="2"/>
      <c r="T187" s="2"/>
      <c r="U187" s="5"/>
      <c r="V187" s="2"/>
      <c r="W187" s="2"/>
      <c r="X187" s="2"/>
      <c r="Y187" s="2"/>
      <c r="Z187" s="2"/>
      <c r="AA187" s="6"/>
      <c r="AB187" s="55"/>
      <c r="AC187" s="55"/>
      <c r="AD187" s="55"/>
      <c r="AE187" s="55"/>
      <c r="AF187" s="56">
        <v>11</v>
      </c>
    </row>
    <row r="188" spans="1:32" s="56" customFormat="1" ht="11.55" customHeight="1">
      <c r="A188" s="1"/>
      <c r="B188" s="3"/>
      <c r="C188" s="3"/>
      <c r="K188" s="2"/>
      <c r="L188" s="3"/>
      <c r="M188" s="3"/>
      <c r="N188" s="2"/>
      <c r="O188" s="2"/>
      <c r="P188" s="2"/>
      <c r="Q188" s="2"/>
      <c r="R188" s="3"/>
      <c r="S188" s="2"/>
      <c r="T188" s="2"/>
      <c r="U188" s="5"/>
      <c r="V188" s="2"/>
      <c r="W188" s="2"/>
      <c r="X188" s="2"/>
      <c r="Y188" s="2"/>
      <c r="Z188" s="2"/>
      <c r="AA188" s="6"/>
      <c r="AB188" s="55"/>
      <c r="AC188" s="55"/>
      <c r="AD188" s="55"/>
      <c r="AE188" s="55"/>
      <c r="AF188" s="56">
        <v>11</v>
      </c>
    </row>
    <row r="189" spans="1:32" s="56" customFormat="1" ht="11.55" customHeight="1">
      <c r="A189" s="1"/>
      <c r="B189" s="3"/>
      <c r="C189" s="3"/>
      <c r="K189" s="2"/>
      <c r="L189" s="3"/>
      <c r="M189" s="3"/>
      <c r="N189" s="2"/>
      <c r="O189" s="2"/>
      <c r="P189" s="2"/>
      <c r="Q189" s="2"/>
      <c r="R189" s="3"/>
      <c r="S189" s="2"/>
      <c r="T189" s="2"/>
      <c r="U189" s="5"/>
      <c r="V189" s="2"/>
      <c r="W189" s="2"/>
      <c r="X189" s="2"/>
      <c r="Y189" s="2"/>
      <c r="Z189" s="2"/>
      <c r="AA189" s="6"/>
      <c r="AB189" s="55"/>
      <c r="AC189" s="55"/>
      <c r="AD189" s="55"/>
      <c r="AE189" s="55"/>
      <c r="AF189" s="56">
        <v>11</v>
      </c>
    </row>
    <row r="190" spans="1:32" s="56" customFormat="1" ht="11.55" customHeight="1">
      <c r="A190" s="1"/>
      <c r="B190" s="3"/>
      <c r="C190" s="3"/>
      <c r="K190" s="2"/>
      <c r="L190" s="3"/>
      <c r="M190" s="3"/>
      <c r="N190" s="2"/>
      <c r="O190" s="2"/>
      <c r="P190" s="2"/>
      <c r="Q190" s="2"/>
      <c r="R190" s="3"/>
      <c r="S190" s="2"/>
      <c r="T190" s="2"/>
      <c r="U190" s="5"/>
      <c r="V190" s="2"/>
      <c r="W190" s="2"/>
      <c r="X190" s="2"/>
      <c r="Y190" s="2"/>
      <c r="Z190" s="2"/>
      <c r="AA190" s="6"/>
      <c r="AB190" s="55"/>
      <c r="AC190" s="55"/>
      <c r="AD190" s="55"/>
      <c r="AE190" s="55"/>
      <c r="AF190" s="56">
        <v>11</v>
      </c>
    </row>
    <row r="191" spans="1:32" s="56" customFormat="1" ht="11.55" customHeight="1">
      <c r="A191" s="1"/>
      <c r="B191" s="3"/>
      <c r="C191" s="3"/>
      <c r="K191" s="2"/>
      <c r="L191" s="3"/>
      <c r="M191" s="3"/>
      <c r="N191" s="2"/>
      <c r="O191" s="2"/>
      <c r="P191" s="2"/>
      <c r="Q191" s="2"/>
      <c r="R191" s="3"/>
      <c r="S191" s="2"/>
      <c r="T191" s="2"/>
      <c r="U191" s="5"/>
      <c r="V191" s="2"/>
      <c r="W191" s="2"/>
      <c r="X191" s="2"/>
      <c r="Y191" s="2"/>
      <c r="Z191" s="2"/>
      <c r="AA191" s="6"/>
      <c r="AB191" s="55"/>
      <c r="AC191" s="55"/>
      <c r="AD191" s="55"/>
      <c r="AE191" s="55"/>
      <c r="AF191" s="56">
        <v>11</v>
      </c>
    </row>
    <row r="192" spans="1:32" s="56" customFormat="1" ht="11.55" customHeight="1">
      <c r="A192" s="1"/>
      <c r="B192" s="3"/>
      <c r="C192" s="3"/>
      <c r="K192" s="2"/>
      <c r="L192" s="3"/>
      <c r="M192" s="3"/>
      <c r="N192" s="2"/>
      <c r="O192" s="2"/>
      <c r="P192" s="2"/>
      <c r="Q192" s="2"/>
      <c r="R192" s="3"/>
      <c r="S192" s="2"/>
      <c r="T192" s="2"/>
      <c r="U192" s="5"/>
      <c r="V192" s="2"/>
      <c r="W192" s="2"/>
      <c r="X192" s="2"/>
      <c r="Y192" s="2"/>
      <c r="Z192" s="2"/>
      <c r="AA192" s="6"/>
      <c r="AB192" s="55"/>
      <c r="AC192" s="55"/>
      <c r="AD192" s="55"/>
      <c r="AE192" s="55"/>
      <c r="AF192" s="56">
        <v>11</v>
      </c>
    </row>
    <row r="193" spans="1:32" s="56" customFormat="1" ht="11.55" customHeight="1">
      <c r="A193" s="1"/>
      <c r="B193" s="3"/>
      <c r="C193" s="3"/>
      <c r="K193" s="2"/>
      <c r="L193" s="3"/>
      <c r="M193" s="3"/>
      <c r="N193" s="2"/>
      <c r="O193" s="2"/>
      <c r="P193" s="2"/>
      <c r="Q193" s="2"/>
      <c r="R193" s="3"/>
      <c r="S193" s="2"/>
      <c r="T193" s="2"/>
      <c r="U193" s="5"/>
      <c r="V193" s="2"/>
      <c r="W193" s="2"/>
      <c r="X193" s="2"/>
      <c r="Y193" s="2"/>
      <c r="Z193" s="2"/>
      <c r="AA193" s="6"/>
      <c r="AB193" s="55"/>
      <c r="AC193" s="55"/>
      <c r="AD193" s="55"/>
      <c r="AE193" s="55"/>
      <c r="AF193" s="56">
        <v>11</v>
      </c>
    </row>
    <row r="194" spans="1:32" s="56" customFormat="1" ht="11.55" customHeight="1">
      <c r="A194" s="1"/>
      <c r="B194" s="3"/>
      <c r="C194" s="3"/>
      <c r="K194" s="2"/>
      <c r="L194" s="3"/>
      <c r="M194" s="3"/>
      <c r="N194" s="2"/>
      <c r="O194" s="2"/>
      <c r="P194" s="2"/>
      <c r="Q194" s="2"/>
      <c r="R194" s="3"/>
      <c r="S194" s="2"/>
      <c r="T194" s="2"/>
      <c r="U194" s="5"/>
      <c r="V194" s="2"/>
      <c r="W194" s="2"/>
      <c r="X194" s="2"/>
      <c r="Y194" s="2"/>
      <c r="Z194" s="2"/>
      <c r="AA194" s="6"/>
      <c r="AB194" s="55"/>
      <c r="AC194" s="55"/>
      <c r="AD194" s="55"/>
      <c r="AE194" s="55"/>
      <c r="AF194" s="56">
        <v>11</v>
      </c>
    </row>
    <row r="195" spans="1:32" s="56" customFormat="1" ht="11.55" customHeight="1">
      <c r="A195" s="1"/>
      <c r="B195" s="3"/>
      <c r="C195" s="3"/>
      <c r="K195" s="2"/>
      <c r="L195" s="3"/>
      <c r="M195" s="3"/>
      <c r="N195" s="2"/>
      <c r="O195" s="2"/>
      <c r="P195" s="2"/>
      <c r="Q195" s="2"/>
      <c r="R195" s="3"/>
      <c r="S195" s="2"/>
      <c r="T195" s="2"/>
      <c r="U195" s="5"/>
      <c r="V195" s="2"/>
      <c r="W195" s="2"/>
      <c r="X195" s="2"/>
      <c r="Y195" s="2"/>
      <c r="Z195" s="2"/>
      <c r="AA195" s="6"/>
      <c r="AB195" s="55"/>
      <c r="AC195" s="55"/>
      <c r="AD195" s="55"/>
      <c r="AE195" s="55"/>
      <c r="AF195" s="56">
        <v>11</v>
      </c>
    </row>
    <row r="196" spans="1:32" s="56" customFormat="1" ht="11.55" customHeight="1">
      <c r="A196" s="1"/>
      <c r="B196" s="3"/>
      <c r="C196" s="3"/>
      <c r="K196" s="2"/>
      <c r="L196" s="3"/>
      <c r="M196" s="3"/>
      <c r="N196" s="2"/>
      <c r="O196" s="2"/>
      <c r="P196" s="2"/>
      <c r="Q196" s="2"/>
      <c r="R196" s="3"/>
      <c r="S196" s="2"/>
      <c r="T196" s="2"/>
      <c r="U196" s="5"/>
      <c r="V196" s="2"/>
      <c r="W196" s="2"/>
      <c r="X196" s="2"/>
      <c r="Y196" s="2"/>
      <c r="Z196" s="2"/>
      <c r="AA196" s="6"/>
      <c r="AB196" s="55"/>
      <c r="AC196" s="55"/>
      <c r="AD196" s="55"/>
      <c r="AE196" s="55"/>
      <c r="AF196" s="56">
        <v>11</v>
      </c>
    </row>
    <row r="197" spans="1:32" s="56" customFormat="1" ht="11.55" customHeight="1">
      <c r="A197" s="1"/>
      <c r="B197" s="3"/>
      <c r="C197" s="3"/>
      <c r="K197" s="2"/>
      <c r="L197" s="3"/>
      <c r="M197" s="3"/>
      <c r="N197" s="2"/>
      <c r="O197" s="2"/>
      <c r="P197" s="2"/>
      <c r="Q197" s="2"/>
      <c r="R197" s="3"/>
      <c r="S197" s="2"/>
      <c r="T197" s="2"/>
      <c r="U197" s="5"/>
      <c r="V197" s="2"/>
      <c r="W197" s="2"/>
      <c r="X197" s="2"/>
      <c r="Y197" s="2"/>
      <c r="Z197" s="2"/>
      <c r="AA197" s="6"/>
      <c r="AB197" s="55"/>
      <c r="AC197" s="55"/>
      <c r="AD197" s="55"/>
      <c r="AE197" s="55"/>
      <c r="AF197" s="56">
        <v>11</v>
      </c>
    </row>
    <row r="198" spans="1:32" s="56" customFormat="1" ht="11.55" customHeight="1">
      <c r="A198" s="1"/>
      <c r="B198" s="3"/>
      <c r="C198" s="3"/>
      <c r="K198" s="2"/>
      <c r="L198" s="3"/>
      <c r="M198" s="3"/>
      <c r="N198" s="2"/>
      <c r="O198" s="2"/>
      <c r="P198" s="2"/>
      <c r="Q198" s="2"/>
      <c r="R198" s="3"/>
      <c r="S198" s="2"/>
      <c r="T198" s="2"/>
      <c r="U198" s="5"/>
      <c r="V198" s="2"/>
      <c r="W198" s="2"/>
      <c r="X198" s="2"/>
      <c r="Y198" s="2"/>
      <c r="Z198" s="2"/>
      <c r="AA198" s="6"/>
      <c r="AB198" s="55"/>
      <c r="AC198" s="55"/>
      <c r="AD198" s="55"/>
      <c r="AE198" s="55"/>
      <c r="AF198" s="56">
        <v>11</v>
      </c>
    </row>
    <row r="199" spans="1:32" s="56" customFormat="1" ht="11.55" customHeight="1">
      <c r="A199" s="1"/>
      <c r="B199" s="3"/>
      <c r="C199" s="3"/>
      <c r="K199" s="2"/>
      <c r="L199" s="3"/>
      <c r="M199" s="3"/>
      <c r="N199" s="2"/>
      <c r="O199" s="2"/>
      <c r="P199" s="2"/>
      <c r="Q199" s="2"/>
      <c r="R199" s="3"/>
      <c r="S199" s="2"/>
      <c r="T199" s="2"/>
      <c r="U199" s="5"/>
      <c r="V199" s="2"/>
      <c r="W199" s="2"/>
      <c r="X199" s="2"/>
      <c r="Y199" s="2"/>
      <c r="Z199" s="2"/>
      <c r="AA199" s="6"/>
      <c r="AB199" s="55"/>
      <c r="AC199" s="55"/>
      <c r="AD199" s="55"/>
      <c r="AE199" s="55"/>
      <c r="AF199" s="56">
        <v>11</v>
      </c>
    </row>
    <row r="200" spans="1:32" s="56" customFormat="1" ht="11.55" customHeight="1">
      <c r="A200" s="1"/>
      <c r="B200" s="3"/>
      <c r="C200" s="3"/>
      <c r="K200" s="2"/>
      <c r="L200" s="3"/>
      <c r="M200" s="3"/>
      <c r="N200" s="2"/>
      <c r="O200" s="2"/>
      <c r="P200" s="2"/>
      <c r="Q200" s="2"/>
      <c r="R200" s="3"/>
      <c r="S200" s="2"/>
      <c r="T200" s="2"/>
      <c r="U200" s="5"/>
      <c r="V200" s="2"/>
      <c r="W200" s="2"/>
      <c r="X200" s="2"/>
      <c r="Y200" s="2"/>
      <c r="Z200" s="2"/>
      <c r="AA200" s="6"/>
      <c r="AB200" s="55"/>
      <c r="AC200" s="55"/>
      <c r="AD200" s="55"/>
      <c r="AE200" s="55"/>
      <c r="AF200" s="56">
        <v>11</v>
      </c>
    </row>
    <row r="201" spans="1:32" s="56" customFormat="1" ht="11.55" customHeight="1">
      <c r="A201" s="1"/>
      <c r="B201" s="3"/>
      <c r="C201" s="3"/>
      <c r="K201" s="2"/>
      <c r="L201" s="3"/>
      <c r="M201" s="3"/>
      <c r="N201" s="2"/>
      <c r="O201" s="2"/>
      <c r="P201" s="2"/>
      <c r="Q201" s="2"/>
      <c r="R201" s="3"/>
      <c r="S201" s="2"/>
      <c r="T201" s="2"/>
      <c r="U201" s="5"/>
      <c r="V201" s="2"/>
      <c r="W201" s="2"/>
      <c r="X201" s="2"/>
      <c r="Y201" s="2"/>
      <c r="Z201" s="2"/>
      <c r="AA201" s="6"/>
      <c r="AB201" s="55"/>
      <c r="AC201" s="55"/>
      <c r="AD201" s="55"/>
      <c r="AE201" s="55"/>
      <c r="AF201" s="56">
        <v>11</v>
      </c>
    </row>
    <row r="202" spans="1:32" s="56" customFormat="1" ht="11.55" customHeight="1">
      <c r="A202" s="1"/>
      <c r="B202" s="3"/>
      <c r="C202" s="3"/>
      <c r="K202" s="2"/>
      <c r="L202" s="3"/>
      <c r="M202" s="3"/>
      <c r="N202" s="2"/>
      <c r="O202" s="2"/>
      <c r="P202" s="2"/>
      <c r="Q202" s="2"/>
      <c r="R202" s="3"/>
      <c r="S202" s="2"/>
      <c r="T202" s="2"/>
      <c r="U202" s="5"/>
      <c r="V202" s="2"/>
      <c r="W202" s="2"/>
      <c r="X202" s="2"/>
      <c r="Y202" s="2"/>
      <c r="Z202" s="2"/>
      <c r="AA202" s="6"/>
      <c r="AB202" s="55"/>
      <c r="AC202" s="55"/>
      <c r="AD202" s="55"/>
      <c r="AE202" s="55"/>
      <c r="AF202" s="56">
        <v>11</v>
      </c>
    </row>
    <row r="203" spans="1:32" s="56" customFormat="1" ht="11.55" customHeight="1">
      <c r="A203" s="1"/>
      <c r="B203" s="3"/>
      <c r="C203" s="3"/>
      <c r="K203" s="2"/>
      <c r="L203" s="3"/>
      <c r="M203" s="3"/>
      <c r="N203" s="2"/>
      <c r="O203" s="2"/>
      <c r="P203" s="2"/>
      <c r="Q203" s="2"/>
      <c r="R203" s="3"/>
      <c r="S203" s="2"/>
      <c r="T203" s="2"/>
      <c r="U203" s="5"/>
      <c r="V203" s="2"/>
      <c r="W203" s="2"/>
      <c r="X203" s="2"/>
      <c r="Y203" s="2"/>
      <c r="Z203" s="2"/>
      <c r="AA203" s="6"/>
      <c r="AB203" s="55"/>
      <c r="AC203" s="55"/>
      <c r="AD203" s="55"/>
      <c r="AE203" s="55"/>
      <c r="AF203" s="56">
        <v>11</v>
      </c>
    </row>
    <row r="204" spans="1:32" s="56" customFormat="1" ht="11.55" customHeight="1">
      <c r="A204" s="1"/>
      <c r="B204" s="3"/>
      <c r="C204" s="3"/>
      <c r="K204" s="2"/>
      <c r="L204" s="3"/>
      <c r="M204" s="3"/>
      <c r="N204" s="2"/>
      <c r="O204" s="2"/>
      <c r="P204" s="2"/>
      <c r="Q204" s="2"/>
      <c r="R204" s="3"/>
      <c r="S204" s="2"/>
      <c r="T204" s="2"/>
      <c r="U204" s="5"/>
      <c r="V204" s="2"/>
      <c r="W204" s="2"/>
      <c r="X204" s="2"/>
      <c r="Y204" s="2"/>
      <c r="Z204" s="2"/>
      <c r="AA204" s="6"/>
      <c r="AB204" s="55"/>
      <c r="AC204" s="55"/>
      <c r="AD204" s="55"/>
      <c r="AE204" s="55"/>
      <c r="AF204" s="56">
        <v>11</v>
      </c>
    </row>
    <row r="205" spans="1:32" s="56" customFormat="1" ht="11.55" customHeight="1">
      <c r="A205" s="1"/>
      <c r="B205" s="3"/>
      <c r="C205" s="3"/>
      <c r="K205" s="2"/>
      <c r="L205" s="3"/>
      <c r="M205" s="3"/>
      <c r="N205" s="2"/>
      <c r="O205" s="2"/>
      <c r="P205" s="2"/>
      <c r="Q205" s="2"/>
      <c r="R205" s="3"/>
      <c r="S205" s="2"/>
      <c r="T205" s="2"/>
      <c r="U205" s="5"/>
      <c r="V205" s="2"/>
      <c r="W205" s="2"/>
      <c r="X205" s="2"/>
      <c r="Y205" s="2"/>
      <c r="Z205" s="2"/>
      <c r="AA205" s="6"/>
      <c r="AB205" s="55"/>
      <c r="AC205" s="55"/>
      <c r="AD205" s="55"/>
      <c r="AE205" s="55"/>
      <c r="AF205" s="56">
        <v>11</v>
      </c>
    </row>
    <row r="206" spans="1:32" s="56" customFormat="1" ht="11.55" customHeight="1">
      <c r="A206" s="1"/>
      <c r="B206" s="3"/>
      <c r="C206" s="3"/>
      <c r="K206" s="2"/>
      <c r="L206" s="3"/>
      <c r="M206" s="3"/>
      <c r="N206" s="2"/>
      <c r="O206" s="2"/>
      <c r="P206" s="2"/>
      <c r="Q206" s="2"/>
      <c r="R206" s="3"/>
      <c r="S206" s="2"/>
      <c r="T206" s="2"/>
      <c r="U206" s="5"/>
      <c r="V206" s="2"/>
      <c r="W206" s="2"/>
      <c r="X206" s="2"/>
      <c r="Y206" s="2"/>
      <c r="Z206" s="2"/>
      <c r="AA206" s="6"/>
      <c r="AB206" s="55"/>
      <c r="AC206" s="55"/>
      <c r="AD206" s="55"/>
      <c r="AE206" s="55"/>
      <c r="AF206" s="56">
        <v>11</v>
      </c>
    </row>
    <row r="207" spans="1:32" s="56" customFormat="1" ht="11.55" customHeight="1">
      <c r="A207" s="1"/>
      <c r="B207" s="3"/>
      <c r="C207" s="3"/>
      <c r="K207" s="2"/>
      <c r="L207" s="3"/>
      <c r="M207" s="3"/>
      <c r="N207" s="2"/>
      <c r="O207" s="2"/>
      <c r="P207" s="2"/>
      <c r="Q207" s="2"/>
      <c r="R207" s="3"/>
      <c r="S207" s="2"/>
      <c r="T207" s="2"/>
      <c r="U207" s="5"/>
      <c r="V207" s="2"/>
      <c r="W207" s="2"/>
      <c r="X207" s="2"/>
      <c r="Y207" s="2"/>
      <c r="Z207" s="2"/>
      <c r="AA207" s="6"/>
      <c r="AB207" s="55"/>
      <c r="AC207" s="55"/>
      <c r="AD207" s="55"/>
      <c r="AE207" s="55"/>
      <c r="AF207" s="56">
        <v>11</v>
      </c>
    </row>
    <row r="208" spans="1:32" s="56" customFormat="1" ht="11.55" customHeight="1">
      <c r="A208" s="1"/>
      <c r="B208" s="3"/>
      <c r="C208" s="3"/>
      <c r="K208" s="2"/>
      <c r="L208" s="3"/>
      <c r="M208" s="3"/>
      <c r="N208" s="2"/>
      <c r="O208" s="2"/>
      <c r="P208" s="2"/>
      <c r="Q208" s="2"/>
      <c r="R208" s="3"/>
      <c r="S208" s="2"/>
      <c r="T208" s="2"/>
      <c r="U208" s="5"/>
      <c r="V208" s="2"/>
      <c r="W208" s="2"/>
      <c r="X208" s="2"/>
      <c r="Y208" s="2"/>
      <c r="Z208" s="2"/>
      <c r="AA208" s="6"/>
      <c r="AB208" s="55"/>
      <c r="AC208" s="55"/>
      <c r="AD208" s="55"/>
      <c r="AE208" s="55"/>
      <c r="AF208" s="56">
        <v>11</v>
      </c>
    </row>
    <row r="209" spans="1:32" s="56" customFormat="1" ht="11.55" customHeight="1">
      <c r="A209" s="1"/>
      <c r="B209" s="3"/>
      <c r="C209" s="3"/>
      <c r="K209" s="2"/>
      <c r="L209" s="3"/>
      <c r="M209" s="3"/>
      <c r="N209" s="2"/>
      <c r="O209" s="2"/>
      <c r="P209" s="2"/>
      <c r="Q209" s="2"/>
      <c r="R209" s="3"/>
      <c r="S209" s="2"/>
      <c r="T209" s="2"/>
      <c r="U209" s="5"/>
      <c r="V209" s="2"/>
      <c r="W209" s="2"/>
      <c r="X209" s="2"/>
      <c r="Y209" s="2"/>
      <c r="Z209" s="2"/>
      <c r="AA209" s="6"/>
      <c r="AB209" s="55"/>
      <c r="AC209" s="55"/>
      <c r="AD209" s="55"/>
      <c r="AE209" s="55"/>
      <c r="AF209" s="56">
        <v>11</v>
      </c>
    </row>
    <row r="210" spans="1:32" s="56" customFormat="1" ht="11.55" customHeight="1">
      <c r="A210" s="1"/>
      <c r="B210" s="3"/>
      <c r="C210" s="3"/>
      <c r="K210" s="2"/>
      <c r="L210" s="3"/>
      <c r="M210" s="3"/>
      <c r="N210" s="2"/>
      <c r="O210" s="2"/>
      <c r="P210" s="2"/>
      <c r="Q210" s="2"/>
      <c r="R210" s="3"/>
      <c r="S210" s="2"/>
      <c r="T210" s="2"/>
      <c r="U210" s="5"/>
      <c r="V210" s="2"/>
      <c r="W210" s="2"/>
      <c r="X210" s="2"/>
      <c r="Y210" s="2"/>
      <c r="Z210" s="2"/>
      <c r="AA210" s="6"/>
      <c r="AB210" s="55"/>
      <c r="AC210" s="55"/>
      <c r="AD210" s="55"/>
      <c r="AE210" s="55"/>
      <c r="AF210" s="56">
        <v>11</v>
      </c>
    </row>
    <row r="211" spans="1:32" s="56" customFormat="1" ht="11.55" customHeight="1">
      <c r="A211" s="1"/>
      <c r="B211" s="3"/>
      <c r="C211" s="3"/>
      <c r="K211" s="2"/>
      <c r="L211" s="3"/>
      <c r="M211" s="3"/>
      <c r="N211" s="2"/>
      <c r="O211" s="2"/>
      <c r="P211" s="2"/>
      <c r="Q211" s="2"/>
      <c r="R211" s="3"/>
      <c r="S211" s="2"/>
      <c r="T211" s="2"/>
      <c r="U211" s="5"/>
      <c r="V211" s="2"/>
      <c r="W211" s="2"/>
      <c r="X211" s="2"/>
      <c r="Y211" s="2"/>
      <c r="Z211" s="2"/>
      <c r="AA211" s="6"/>
      <c r="AB211" s="55"/>
      <c r="AC211" s="55"/>
      <c r="AD211" s="55"/>
      <c r="AE211" s="55"/>
      <c r="AF211" s="56">
        <v>11</v>
      </c>
    </row>
    <row r="212" spans="1:32" s="56" customFormat="1" ht="11.55" customHeight="1">
      <c r="A212" s="1"/>
      <c r="B212" s="3"/>
      <c r="C212" s="3"/>
      <c r="K212" s="2"/>
      <c r="L212" s="3"/>
      <c r="M212" s="3"/>
      <c r="N212" s="2"/>
      <c r="O212" s="2"/>
      <c r="P212" s="2"/>
      <c r="Q212" s="2"/>
      <c r="R212" s="3"/>
      <c r="S212" s="2"/>
      <c r="T212" s="2"/>
      <c r="U212" s="5"/>
      <c r="V212" s="2"/>
      <c r="W212" s="2"/>
      <c r="X212" s="2"/>
      <c r="Y212" s="2"/>
      <c r="Z212" s="2"/>
      <c r="AA212" s="6"/>
      <c r="AB212" s="55"/>
      <c r="AC212" s="55"/>
      <c r="AD212" s="55"/>
      <c r="AE212" s="55"/>
      <c r="AF212" s="56">
        <v>11</v>
      </c>
    </row>
    <row r="213" spans="1:32" s="56" customFormat="1" ht="11.55" customHeight="1">
      <c r="A213" s="1"/>
      <c r="B213" s="3"/>
      <c r="C213" s="3"/>
      <c r="K213" s="2"/>
      <c r="L213" s="3"/>
      <c r="M213" s="3"/>
      <c r="N213" s="2"/>
      <c r="O213" s="2"/>
      <c r="P213" s="2"/>
      <c r="Q213" s="2"/>
      <c r="R213" s="3"/>
      <c r="S213" s="2"/>
      <c r="T213" s="2"/>
      <c r="U213" s="5"/>
      <c r="V213" s="2"/>
      <c r="W213" s="2"/>
      <c r="X213" s="2"/>
      <c r="Y213" s="2"/>
      <c r="Z213" s="2"/>
      <c r="AA213" s="6"/>
      <c r="AB213" s="55"/>
      <c r="AC213" s="55"/>
      <c r="AD213" s="55"/>
      <c r="AE213" s="55"/>
      <c r="AF213" s="56">
        <v>11</v>
      </c>
    </row>
    <row r="214" spans="1:32" s="56" customFormat="1" ht="11.55" customHeight="1">
      <c r="A214" s="1"/>
      <c r="B214" s="3"/>
      <c r="C214" s="3"/>
      <c r="K214" s="2"/>
      <c r="L214" s="3"/>
      <c r="M214" s="3"/>
      <c r="N214" s="2"/>
      <c r="O214" s="2"/>
      <c r="P214" s="2"/>
      <c r="Q214" s="2"/>
      <c r="R214" s="3"/>
      <c r="S214" s="2"/>
      <c r="T214" s="2"/>
      <c r="U214" s="5"/>
      <c r="V214" s="2"/>
      <c r="W214" s="2"/>
      <c r="X214" s="2"/>
      <c r="Y214" s="2"/>
      <c r="Z214" s="2"/>
      <c r="AA214" s="6"/>
      <c r="AB214" s="55"/>
      <c r="AC214" s="55"/>
      <c r="AD214" s="55"/>
      <c r="AE214" s="55"/>
      <c r="AF214" s="56">
        <v>11</v>
      </c>
    </row>
    <row r="215" spans="1:32" s="56" customFormat="1" ht="11.55" customHeight="1">
      <c r="A215" s="1"/>
      <c r="B215" s="3"/>
      <c r="C215" s="3"/>
      <c r="K215" s="2"/>
      <c r="L215" s="3"/>
      <c r="M215" s="3"/>
      <c r="N215" s="2"/>
      <c r="O215" s="2"/>
      <c r="P215" s="2"/>
      <c r="Q215" s="2"/>
      <c r="R215" s="3"/>
      <c r="S215" s="2"/>
      <c r="T215" s="2"/>
      <c r="U215" s="5"/>
      <c r="V215" s="2"/>
      <c r="W215" s="2"/>
      <c r="X215" s="2"/>
      <c r="Y215" s="2"/>
      <c r="Z215" s="2"/>
      <c r="AA215" s="6"/>
      <c r="AB215" s="55"/>
      <c r="AC215" s="55"/>
      <c r="AD215" s="55"/>
      <c r="AE215" s="55"/>
      <c r="AF215" s="56">
        <v>11</v>
      </c>
    </row>
    <row r="216" spans="1:32" s="56" customFormat="1" ht="11.55" customHeight="1">
      <c r="A216" s="1"/>
      <c r="B216" s="3"/>
      <c r="C216" s="3"/>
      <c r="K216" s="2"/>
      <c r="L216" s="3"/>
      <c r="M216" s="3"/>
      <c r="N216" s="2"/>
      <c r="O216" s="2"/>
      <c r="P216" s="2"/>
      <c r="Q216" s="2"/>
      <c r="R216" s="3"/>
      <c r="S216" s="2"/>
      <c r="T216" s="2"/>
      <c r="U216" s="5"/>
      <c r="V216" s="2"/>
      <c r="W216" s="2"/>
      <c r="X216" s="2"/>
      <c r="Y216" s="2"/>
      <c r="Z216" s="2"/>
      <c r="AA216" s="6"/>
      <c r="AB216" s="55"/>
      <c r="AC216" s="55"/>
      <c r="AD216" s="55"/>
      <c r="AE216" s="55"/>
      <c r="AF216" s="56">
        <v>11</v>
      </c>
    </row>
    <row r="217" spans="1:32" s="56" customFormat="1" ht="11.55" customHeight="1">
      <c r="A217" s="1"/>
      <c r="B217" s="3"/>
      <c r="C217" s="3"/>
      <c r="K217" s="2"/>
      <c r="L217" s="3"/>
      <c r="M217" s="3"/>
      <c r="N217" s="2"/>
      <c r="O217" s="2"/>
      <c r="P217" s="2"/>
      <c r="Q217" s="2"/>
      <c r="R217" s="3"/>
      <c r="S217" s="2"/>
      <c r="T217" s="2"/>
      <c r="U217" s="5"/>
      <c r="V217" s="2"/>
      <c r="W217" s="2"/>
      <c r="X217" s="2"/>
      <c r="Y217" s="2"/>
      <c r="Z217" s="2"/>
      <c r="AA217" s="6"/>
      <c r="AB217" s="55"/>
      <c r="AC217" s="55"/>
      <c r="AD217" s="55"/>
      <c r="AE217" s="55"/>
      <c r="AF217" s="56">
        <v>11</v>
      </c>
    </row>
    <row r="218" spans="1:32" s="56" customFormat="1" ht="11.55" customHeight="1">
      <c r="A218" s="1"/>
      <c r="B218" s="3"/>
      <c r="C218" s="3"/>
      <c r="K218" s="2"/>
      <c r="L218" s="3"/>
      <c r="M218" s="3"/>
      <c r="N218" s="2"/>
      <c r="O218" s="2"/>
      <c r="P218" s="2"/>
      <c r="Q218" s="2"/>
      <c r="R218" s="3"/>
      <c r="S218" s="2"/>
      <c r="T218" s="2"/>
      <c r="U218" s="5"/>
      <c r="V218" s="2"/>
      <c r="W218" s="2"/>
      <c r="X218" s="2"/>
      <c r="Y218" s="2"/>
      <c r="Z218" s="2"/>
      <c r="AA218" s="6"/>
      <c r="AB218" s="55"/>
      <c r="AC218" s="55"/>
      <c r="AD218" s="55"/>
      <c r="AE218" s="55"/>
      <c r="AF218" s="56">
        <v>11</v>
      </c>
    </row>
    <row r="219" spans="1:32" s="56" customFormat="1" ht="11.55" customHeight="1">
      <c r="A219" s="1"/>
      <c r="B219" s="3"/>
      <c r="C219" s="3"/>
      <c r="K219" s="2"/>
      <c r="L219" s="3"/>
      <c r="M219" s="3"/>
      <c r="N219" s="2"/>
      <c r="O219" s="2"/>
      <c r="P219" s="2"/>
      <c r="Q219" s="2"/>
      <c r="R219" s="3"/>
      <c r="S219" s="2"/>
      <c r="T219" s="2"/>
      <c r="U219" s="5"/>
      <c r="V219" s="2"/>
      <c r="W219" s="2"/>
      <c r="X219" s="2"/>
      <c r="Y219" s="2"/>
      <c r="Z219" s="2"/>
      <c r="AA219" s="6"/>
      <c r="AB219" s="55"/>
      <c r="AC219" s="55"/>
      <c r="AD219" s="55"/>
      <c r="AE219" s="55"/>
      <c r="AF219" s="56">
        <v>11</v>
      </c>
    </row>
    <row r="220" spans="1:32" s="56" customFormat="1" ht="11.55" customHeight="1">
      <c r="A220" s="1"/>
      <c r="B220" s="3"/>
      <c r="C220" s="3"/>
      <c r="K220" s="2"/>
      <c r="L220" s="3"/>
      <c r="M220" s="3"/>
      <c r="N220" s="2"/>
      <c r="O220" s="2"/>
      <c r="P220" s="2"/>
      <c r="Q220" s="2"/>
      <c r="R220" s="3"/>
      <c r="S220" s="2"/>
      <c r="T220" s="2"/>
      <c r="U220" s="5"/>
      <c r="V220" s="2"/>
      <c r="W220" s="2"/>
      <c r="X220" s="2"/>
      <c r="Y220" s="2"/>
      <c r="Z220" s="2"/>
      <c r="AA220" s="6"/>
      <c r="AB220" s="55"/>
      <c r="AC220" s="55"/>
      <c r="AD220" s="55"/>
      <c r="AE220" s="55"/>
      <c r="AF220" s="56">
        <v>11</v>
      </c>
    </row>
    <row r="221" spans="1:32" s="56" customFormat="1" ht="11.55" customHeight="1">
      <c r="A221" s="1"/>
      <c r="B221" s="3"/>
      <c r="C221" s="3"/>
      <c r="K221" s="2"/>
      <c r="L221" s="3"/>
      <c r="M221" s="3"/>
      <c r="N221" s="2"/>
      <c r="O221" s="2"/>
      <c r="P221" s="2"/>
      <c r="Q221" s="2"/>
      <c r="R221" s="3"/>
      <c r="S221" s="2"/>
      <c r="T221" s="2"/>
      <c r="U221" s="5"/>
      <c r="V221" s="2"/>
      <c r="W221" s="2"/>
      <c r="X221" s="2"/>
      <c r="Y221" s="2"/>
      <c r="Z221" s="2"/>
      <c r="AA221" s="6"/>
      <c r="AB221" s="55"/>
      <c r="AC221" s="55"/>
      <c r="AD221" s="55"/>
      <c r="AE221" s="55"/>
      <c r="AF221" s="56">
        <v>11</v>
      </c>
    </row>
    <row r="222" spans="1:32" s="56" customFormat="1" ht="11.55" customHeight="1">
      <c r="A222" s="1"/>
      <c r="B222" s="3"/>
      <c r="C222" s="3"/>
      <c r="K222" s="2"/>
      <c r="L222" s="3"/>
      <c r="M222" s="3"/>
      <c r="N222" s="2"/>
      <c r="O222" s="2"/>
      <c r="P222" s="2"/>
      <c r="Q222" s="2"/>
      <c r="R222" s="3"/>
      <c r="S222" s="2"/>
      <c r="T222" s="2"/>
      <c r="U222" s="5"/>
      <c r="V222" s="2"/>
      <c r="W222" s="2"/>
      <c r="X222" s="2"/>
      <c r="Y222" s="2"/>
      <c r="Z222" s="2"/>
      <c r="AA222" s="6"/>
      <c r="AB222" s="55"/>
      <c r="AC222" s="55"/>
      <c r="AD222" s="55"/>
      <c r="AE222" s="55"/>
      <c r="AF222" s="56">
        <v>11</v>
      </c>
    </row>
    <row r="223" spans="1:32" s="56" customFormat="1" ht="11.55" customHeight="1">
      <c r="A223" s="1"/>
      <c r="B223" s="3"/>
      <c r="C223" s="3"/>
      <c r="K223" s="2"/>
      <c r="L223" s="3"/>
      <c r="M223" s="3"/>
      <c r="N223" s="2"/>
      <c r="O223" s="2"/>
      <c r="P223" s="2"/>
      <c r="Q223" s="2"/>
      <c r="R223" s="3"/>
      <c r="S223" s="2"/>
      <c r="T223" s="2"/>
      <c r="U223" s="5"/>
      <c r="V223" s="2"/>
      <c r="W223" s="2"/>
      <c r="X223" s="2"/>
      <c r="Y223" s="2"/>
      <c r="Z223" s="2"/>
      <c r="AA223" s="6"/>
      <c r="AB223" s="55"/>
      <c r="AC223" s="55"/>
      <c r="AD223" s="55"/>
      <c r="AE223" s="55"/>
      <c r="AF223" s="56">
        <v>11</v>
      </c>
    </row>
    <row r="224" spans="1:32" s="56" customFormat="1" ht="11.55" customHeight="1">
      <c r="A224" s="1"/>
      <c r="B224" s="3"/>
      <c r="C224" s="3"/>
      <c r="K224" s="2"/>
      <c r="L224" s="3"/>
      <c r="M224" s="3"/>
      <c r="N224" s="2"/>
      <c r="O224" s="2"/>
      <c r="P224" s="2"/>
      <c r="Q224" s="2"/>
      <c r="R224" s="3"/>
      <c r="S224" s="2"/>
      <c r="T224" s="2"/>
      <c r="U224" s="5"/>
      <c r="V224" s="2"/>
      <c r="W224" s="2"/>
      <c r="X224" s="2"/>
      <c r="Y224" s="2"/>
      <c r="Z224" s="2"/>
      <c r="AA224" s="6"/>
      <c r="AB224" s="55"/>
      <c r="AC224" s="55"/>
      <c r="AD224" s="55"/>
      <c r="AE224" s="55"/>
      <c r="AF224" s="56">
        <v>11</v>
      </c>
    </row>
    <row r="225" spans="1:32" s="56" customFormat="1" ht="11.55" customHeight="1">
      <c r="A225" s="1"/>
      <c r="B225" s="3"/>
      <c r="C225" s="3"/>
      <c r="K225" s="2"/>
      <c r="L225" s="3"/>
      <c r="M225" s="3"/>
      <c r="N225" s="2"/>
      <c r="O225" s="2"/>
      <c r="P225" s="2"/>
      <c r="Q225" s="2"/>
      <c r="R225" s="3"/>
      <c r="S225" s="2"/>
      <c r="T225" s="2"/>
      <c r="U225" s="5"/>
      <c r="V225" s="2"/>
      <c r="W225" s="2"/>
      <c r="X225" s="2"/>
      <c r="Y225" s="2"/>
      <c r="Z225" s="2"/>
      <c r="AA225" s="6"/>
      <c r="AB225" s="55"/>
      <c r="AC225" s="55"/>
      <c r="AD225" s="55"/>
      <c r="AE225" s="55"/>
      <c r="AF225" s="56">
        <v>11</v>
      </c>
    </row>
    <row r="226" spans="1:32" s="56" customFormat="1" ht="11.55" customHeight="1">
      <c r="A226" s="1"/>
      <c r="B226" s="3"/>
      <c r="C226" s="3"/>
      <c r="K226" s="2"/>
      <c r="L226" s="3"/>
      <c r="M226" s="3"/>
      <c r="N226" s="2"/>
      <c r="O226" s="2"/>
      <c r="P226" s="2"/>
      <c r="Q226" s="2"/>
      <c r="R226" s="3"/>
      <c r="S226" s="2"/>
      <c r="T226" s="2"/>
      <c r="U226" s="5"/>
      <c r="V226" s="2"/>
      <c r="W226" s="2"/>
      <c r="X226" s="2"/>
      <c r="Y226" s="2"/>
      <c r="Z226" s="2"/>
      <c r="AA226" s="6"/>
      <c r="AB226" s="55"/>
      <c r="AC226" s="55"/>
      <c r="AD226" s="55"/>
      <c r="AE226" s="55"/>
      <c r="AF226" s="56">
        <v>11</v>
      </c>
    </row>
    <row r="227" spans="1:32" s="56" customFormat="1" ht="11.55" customHeight="1">
      <c r="A227" s="1"/>
      <c r="B227" s="3"/>
      <c r="C227" s="3"/>
      <c r="K227" s="2"/>
      <c r="L227" s="3"/>
      <c r="M227" s="3"/>
      <c r="N227" s="2"/>
      <c r="O227" s="2"/>
      <c r="P227" s="2"/>
      <c r="Q227" s="2"/>
      <c r="R227" s="3"/>
      <c r="S227" s="2"/>
      <c r="T227" s="2"/>
      <c r="U227" s="5"/>
      <c r="V227" s="2"/>
      <c r="W227" s="2"/>
      <c r="X227" s="2"/>
      <c r="Y227" s="2"/>
      <c r="Z227" s="2"/>
      <c r="AA227" s="6"/>
      <c r="AB227" s="55"/>
      <c r="AC227" s="55"/>
      <c r="AD227" s="55"/>
      <c r="AE227" s="55"/>
      <c r="AF227" s="56">
        <v>11</v>
      </c>
    </row>
    <row r="228" spans="1:32" s="56" customFormat="1" ht="11.55" customHeight="1">
      <c r="A228" s="1"/>
      <c r="B228" s="3"/>
      <c r="C228" s="3"/>
      <c r="K228" s="2"/>
      <c r="L228" s="3"/>
      <c r="M228" s="3"/>
      <c r="N228" s="2"/>
      <c r="O228" s="2"/>
      <c r="P228" s="2"/>
      <c r="Q228" s="2"/>
      <c r="R228" s="3"/>
      <c r="S228" s="2"/>
      <c r="T228" s="2"/>
      <c r="U228" s="5"/>
      <c r="V228" s="2"/>
      <c r="W228" s="2"/>
      <c r="X228" s="2"/>
      <c r="Y228" s="2"/>
      <c r="Z228" s="2"/>
      <c r="AA228" s="6"/>
      <c r="AB228" s="55"/>
      <c r="AC228" s="55"/>
      <c r="AD228" s="55"/>
      <c r="AE228" s="55"/>
      <c r="AF228" s="56">
        <v>11</v>
      </c>
    </row>
    <row r="229" spans="1:32" s="56" customFormat="1" ht="11.55" customHeight="1">
      <c r="A229" s="1"/>
      <c r="B229" s="3"/>
      <c r="C229" s="3"/>
      <c r="K229" s="2"/>
      <c r="L229" s="3"/>
      <c r="M229" s="3"/>
      <c r="N229" s="2"/>
      <c r="O229" s="2"/>
      <c r="P229" s="2"/>
      <c r="Q229" s="2"/>
      <c r="R229" s="3"/>
      <c r="S229" s="2"/>
      <c r="T229" s="2"/>
      <c r="U229" s="5"/>
      <c r="V229" s="2"/>
      <c r="W229" s="2"/>
      <c r="X229" s="2"/>
      <c r="Y229" s="2"/>
      <c r="Z229" s="2"/>
      <c r="AA229" s="6"/>
      <c r="AB229" s="55"/>
      <c r="AC229" s="55"/>
      <c r="AD229" s="55"/>
      <c r="AE229" s="55"/>
      <c r="AF229" s="56">
        <v>11</v>
      </c>
    </row>
    <row r="230" spans="1:32" s="56" customFormat="1" ht="11.55" customHeight="1">
      <c r="A230" s="1"/>
      <c r="B230" s="3"/>
      <c r="C230" s="3"/>
      <c r="K230" s="2"/>
      <c r="L230" s="3"/>
      <c r="M230" s="3"/>
      <c r="N230" s="2"/>
      <c r="O230" s="2"/>
      <c r="P230" s="2"/>
      <c r="Q230" s="2"/>
      <c r="R230" s="3"/>
      <c r="S230" s="2"/>
      <c r="T230" s="2"/>
      <c r="U230" s="5"/>
      <c r="V230" s="2"/>
      <c r="W230" s="2"/>
      <c r="X230" s="2"/>
      <c r="Y230" s="2"/>
      <c r="Z230" s="2"/>
      <c r="AA230" s="6"/>
      <c r="AB230" s="55"/>
      <c r="AC230" s="55"/>
      <c r="AD230" s="55"/>
      <c r="AE230" s="55"/>
      <c r="AF230" s="56">
        <v>11</v>
      </c>
    </row>
    <row r="231" spans="1:32" s="56" customFormat="1" ht="11.55" customHeight="1">
      <c r="A231" s="1"/>
      <c r="B231" s="3"/>
      <c r="C231" s="3"/>
      <c r="K231" s="2"/>
      <c r="L231" s="3"/>
      <c r="M231" s="3"/>
      <c r="N231" s="2"/>
      <c r="O231" s="2"/>
      <c r="P231" s="2"/>
      <c r="Q231" s="2"/>
      <c r="R231" s="3"/>
      <c r="S231" s="2"/>
      <c r="T231" s="2"/>
      <c r="U231" s="5"/>
      <c r="V231" s="2"/>
      <c r="W231" s="2"/>
      <c r="X231" s="2"/>
      <c r="Y231" s="2"/>
      <c r="Z231" s="2"/>
      <c r="AA231" s="6"/>
      <c r="AB231" s="55"/>
      <c r="AC231" s="55"/>
      <c r="AD231" s="55"/>
      <c r="AE231" s="55"/>
      <c r="AF231" s="56">
        <v>11</v>
      </c>
    </row>
    <row r="232" spans="1:32" s="56" customFormat="1" ht="11.55" customHeight="1">
      <c r="A232" s="1"/>
      <c r="B232" s="3"/>
      <c r="C232" s="3"/>
      <c r="K232" s="2"/>
      <c r="L232" s="3"/>
      <c r="M232" s="3"/>
      <c r="N232" s="2"/>
      <c r="O232" s="2"/>
      <c r="P232" s="2"/>
      <c r="Q232" s="2"/>
      <c r="R232" s="3"/>
      <c r="S232" s="2"/>
      <c r="T232" s="2"/>
      <c r="U232" s="5"/>
      <c r="V232" s="2"/>
      <c r="W232" s="2"/>
      <c r="X232" s="2"/>
      <c r="Y232" s="2"/>
      <c r="Z232" s="2"/>
      <c r="AA232" s="6"/>
      <c r="AB232" s="55"/>
      <c r="AC232" s="55"/>
      <c r="AD232" s="55"/>
      <c r="AE232" s="55"/>
      <c r="AF232" s="56">
        <v>11</v>
      </c>
    </row>
    <row r="233" spans="1:32" s="56" customFormat="1" ht="11.55" customHeight="1">
      <c r="A233" s="1"/>
      <c r="B233" s="3"/>
      <c r="C233" s="3"/>
      <c r="K233" s="2"/>
      <c r="L233" s="3"/>
      <c r="M233" s="3"/>
      <c r="N233" s="2"/>
      <c r="O233" s="2"/>
      <c r="P233" s="2"/>
      <c r="Q233" s="2"/>
      <c r="R233" s="3"/>
      <c r="S233" s="2"/>
      <c r="T233" s="2"/>
      <c r="U233" s="5"/>
      <c r="V233" s="2"/>
      <c r="W233" s="2"/>
      <c r="X233" s="2"/>
      <c r="Y233" s="2"/>
      <c r="Z233" s="2"/>
      <c r="AA233" s="6"/>
      <c r="AB233" s="55"/>
      <c r="AC233" s="55"/>
      <c r="AD233" s="55"/>
      <c r="AE233" s="55"/>
      <c r="AF233" s="56">
        <v>11</v>
      </c>
    </row>
    <row r="234" spans="1:32" s="56" customFormat="1" ht="11.55" customHeight="1">
      <c r="A234" s="1"/>
      <c r="B234" s="3"/>
      <c r="C234" s="3"/>
      <c r="K234" s="2"/>
      <c r="L234" s="3"/>
      <c r="M234" s="3"/>
      <c r="N234" s="2"/>
      <c r="O234" s="2"/>
      <c r="P234" s="2"/>
      <c r="Q234" s="2"/>
      <c r="R234" s="3"/>
      <c r="S234" s="2"/>
      <c r="T234" s="2"/>
      <c r="U234" s="5"/>
      <c r="V234" s="2"/>
      <c r="W234" s="2"/>
      <c r="X234" s="2"/>
      <c r="Y234" s="2"/>
      <c r="Z234" s="2"/>
      <c r="AA234" s="6"/>
      <c r="AB234" s="55"/>
      <c r="AC234" s="55"/>
      <c r="AD234" s="55"/>
      <c r="AE234" s="55"/>
      <c r="AF234" s="56">
        <v>11</v>
      </c>
    </row>
    <row r="235" spans="1:32" s="56" customFormat="1" ht="11.55" customHeight="1">
      <c r="A235" s="1"/>
      <c r="B235" s="3"/>
      <c r="C235" s="3"/>
      <c r="K235" s="2"/>
      <c r="L235" s="3"/>
      <c r="M235" s="3"/>
      <c r="N235" s="2"/>
      <c r="O235" s="2"/>
      <c r="P235" s="2"/>
      <c r="Q235" s="2"/>
      <c r="R235" s="3"/>
      <c r="S235" s="2"/>
      <c r="T235" s="2"/>
      <c r="U235" s="5"/>
      <c r="V235" s="2"/>
      <c r="W235" s="2"/>
      <c r="X235" s="2"/>
      <c r="Y235" s="2"/>
      <c r="Z235" s="2"/>
      <c r="AA235" s="6"/>
      <c r="AB235" s="55"/>
      <c r="AC235" s="55"/>
      <c r="AD235" s="55"/>
      <c r="AE235" s="55"/>
      <c r="AF235" s="56">
        <v>11</v>
      </c>
    </row>
    <row r="236" spans="1:32" s="56" customFormat="1" ht="11.55" customHeight="1">
      <c r="A236" s="1"/>
      <c r="B236" s="3"/>
      <c r="C236" s="3"/>
      <c r="K236" s="2"/>
      <c r="L236" s="3"/>
      <c r="M236" s="3"/>
      <c r="N236" s="2"/>
      <c r="O236" s="2"/>
      <c r="P236" s="2"/>
      <c r="Q236" s="2"/>
      <c r="R236" s="3"/>
      <c r="S236" s="2"/>
      <c r="T236" s="2"/>
      <c r="U236" s="5"/>
      <c r="V236" s="2"/>
      <c r="W236" s="2"/>
      <c r="X236" s="2"/>
      <c r="Y236" s="2"/>
      <c r="Z236" s="2"/>
      <c r="AA236" s="6"/>
      <c r="AB236" s="55"/>
      <c r="AC236" s="55"/>
      <c r="AD236" s="55"/>
      <c r="AE236" s="55"/>
      <c r="AF236" s="56">
        <v>11</v>
      </c>
    </row>
    <row r="237" spans="1:32" s="56" customFormat="1" ht="11.55" customHeight="1">
      <c r="A237" s="1"/>
      <c r="B237" s="3"/>
      <c r="C237" s="3"/>
      <c r="K237" s="2"/>
      <c r="L237" s="3"/>
      <c r="M237" s="3"/>
      <c r="N237" s="2"/>
      <c r="O237" s="2"/>
      <c r="P237" s="2"/>
      <c r="Q237" s="2"/>
      <c r="R237" s="3"/>
      <c r="S237" s="2"/>
      <c r="T237" s="2"/>
      <c r="U237" s="5"/>
      <c r="V237" s="2"/>
      <c r="W237" s="2"/>
      <c r="X237" s="2"/>
      <c r="Y237" s="2"/>
      <c r="Z237" s="2"/>
      <c r="AA237" s="6"/>
      <c r="AB237" s="55"/>
      <c r="AC237" s="55"/>
      <c r="AD237" s="55"/>
      <c r="AE237" s="55"/>
      <c r="AF237" s="56">
        <v>11</v>
      </c>
    </row>
    <row r="238" spans="1:32" s="56" customFormat="1" ht="11.55" customHeight="1">
      <c r="A238" s="1"/>
      <c r="B238" s="3"/>
      <c r="C238" s="3"/>
      <c r="K238" s="2"/>
      <c r="L238" s="3"/>
      <c r="M238" s="3"/>
      <c r="N238" s="2"/>
      <c r="O238" s="2"/>
      <c r="P238" s="2"/>
      <c r="Q238" s="2"/>
      <c r="R238" s="3"/>
      <c r="S238" s="2"/>
      <c r="T238" s="2"/>
      <c r="U238" s="5"/>
      <c r="V238" s="2"/>
      <c r="W238" s="2"/>
      <c r="X238" s="2"/>
      <c r="Y238" s="2"/>
      <c r="Z238" s="2"/>
      <c r="AA238" s="6"/>
      <c r="AB238" s="55"/>
      <c r="AC238" s="55"/>
      <c r="AD238" s="55"/>
      <c r="AE238" s="55"/>
      <c r="AF238" s="56">
        <v>11</v>
      </c>
    </row>
    <row r="239" spans="1:32" s="56" customFormat="1" ht="11.55" customHeight="1">
      <c r="A239" s="1"/>
      <c r="B239" s="3"/>
      <c r="C239" s="3"/>
      <c r="K239" s="2"/>
      <c r="L239" s="3"/>
      <c r="M239" s="3"/>
      <c r="N239" s="2"/>
      <c r="O239" s="2"/>
      <c r="P239" s="2"/>
      <c r="Q239" s="2"/>
      <c r="R239" s="3"/>
      <c r="S239" s="2"/>
      <c r="T239" s="2"/>
      <c r="U239" s="5"/>
      <c r="V239" s="2"/>
      <c r="W239" s="2"/>
      <c r="X239" s="2"/>
      <c r="Y239" s="2"/>
      <c r="Z239" s="2"/>
      <c r="AA239" s="6"/>
      <c r="AB239" s="55"/>
      <c r="AC239" s="55"/>
      <c r="AD239" s="55"/>
      <c r="AE239" s="55"/>
      <c r="AF239" s="56">
        <v>11</v>
      </c>
    </row>
    <row r="240" spans="1:32" s="56" customFormat="1" ht="11.55" customHeight="1">
      <c r="A240" s="1"/>
      <c r="B240" s="3"/>
      <c r="C240" s="3"/>
      <c r="K240" s="2"/>
      <c r="L240" s="3"/>
      <c r="M240" s="3"/>
      <c r="N240" s="2"/>
      <c r="O240" s="2"/>
      <c r="P240" s="2"/>
      <c r="Q240" s="2"/>
      <c r="R240" s="3"/>
      <c r="S240" s="2"/>
      <c r="T240" s="2"/>
      <c r="U240" s="5"/>
      <c r="V240" s="2"/>
      <c r="W240" s="2"/>
      <c r="X240" s="2"/>
      <c r="Y240" s="2"/>
      <c r="Z240" s="2"/>
      <c r="AA240" s="6"/>
      <c r="AB240" s="55"/>
      <c r="AC240" s="55"/>
      <c r="AD240" s="55"/>
      <c r="AE240" s="55"/>
      <c r="AF240" s="56">
        <v>11</v>
      </c>
    </row>
    <row r="241" spans="1:32" s="56" customFormat="1" ht="11.55" customHeight="1">
      <c r="A241" s="1"/>
      <c r="B241" s="3"/>
      <c r="C241" s="3"/>
      <c r="K241" s="2"/>
      <c r="L241" s="3"/>
      <c r="M241" s="3"/>
      <c r="N241" s="2"/>
      <c r="O241" s="2"/>
      <c r="P241" s="2"/>
      <c r="Q241" s="2"/>
      <c r="R241" s="3"/>
      <c r="S241" s="2"/>
      <c r="T241" s="2"/>
      <c r="U241" s="5"/>
      <c r="V241" s="2"/>
      <c r="W241" s="2"/>
      <c r="X241" s="2"/>
      <c r="Y241" s="2"/>
      <c r="Z241" s="2"/>
      <c r="AA241" s="6"/>
      <c r="AB241" s="55"/>
      <c r="AC241" s="55"/>
      <c r="AD241" s="55"/>
      <c r="AE241" s="55"/>
      <c r="AF241" s="56">
        <v>11</v>
      </c>
    </row>
    <row r="242" spans="1:32" s="56" customFormat="1" ht="11.55" customHeight="1">
      <c r="A242" s="1"/>
      <c r="B242" s="3"/>
      <c r="C242" s="3"/>
      <c r="K242" s="2"/>
      <c r="L242" s="3"/>
      <c r="M242" s="3"/>
      <c r="N242" s="2"/>
      <c r="O242" s="2"/>
      <c r="P242" s="2"/>
      <c r="Q242" s="2"/>
      <c r="R242" s="3"/>
      <c r="S242" s="2"/>
      <c r="T242" s="2"/>
      <c r="U242" s="5"/>
      <c r="V242" s="2"/>
      <c r="W242" s="2"/>
      <c r="X242" s="2"/>
      <c r="Y242" s="2"/>
      <c r="Z242" s="2"/>
      <c r="AA242" s="6"/>
      <c r="AB242" s="55"/>
      <c r="AC242" s="55"/>
      <c r="AD242" s="55"/>
      <c r="AE242" s="55"/>
      <c r="AF242" s="56">
        <v>11</v>
      </c>
    </row>
    <row r="243" spans="1:32" s="56" customFormat="1" ht="11.55" customHeight="1">
      <c r="A243" s="1"/>
      <c r="B243" s="3"/>
      <c r="C243" s="3"/>
      <c r="K243" s="2"/>
      <c r="L243" s="3"/>
      <c r="M243" s="3"/>
      <c r="N243" s="2"/>
      <c r="O243" s="2"/>
      <c r="P243" s="2"/>
      <c r="Q243" s="2"/>
      <c r="R243" s="3"/>
      <c r="S243" s="2"/>
      <c r="T243" s="2"/>
      <c r="U243" s="5"/>
      <c r="V243" s="2"/>
      <c r="W243" s="2"/>
      <c r="X243" s="2"/>
      <c r="Y243" s="2"/>
      <c r="Z243" s="2"/>
      <c r="AA243" s="6"/>
      <c r="AB243" s="55"/>
      <c r="AC243" s="55"/>
      <c r="AD243" s="55"/>
      <c r="AE243" s="55"/>
      <c r="AF243" s="56">
        <v>11</v>
      </c>
    </row>
    <row r="244" spans="1:32" s="56" customFormat="1" ht="11.55" customHeight="1">
      <c r="A244" s="1"/>
      <c r="B244" s="3"/>
      <c r="C244" s="3"/>
      <c r="K244" s="2"/>
      <c r="L244" s="3"/>
      <c r="M244" s="3"/>
      <c r="N244" s="2"/>
      <c r="O244" s="2"/>
      <c r="P244" s="2"/>
      <c r="Q244" s="2"/>
      <c r="R244" s="3"/>
      <c r="S244" s="2"/>
      <c r="T244" s="2"/>
      <c r="U244" s="5"/>
      <c r="V244" s="2"/>
      <c r="W244" s="2"/>
      <c r="X244" s="2"/>
      <c r="Y244" s="2"/>
      <c r="Z244" s="2"/>
      <c r="AA244" s="6"/>
      <c r="AB244" s="55"/>
      <c r="AC244" s="55"/>
      <c r="AD244" s="55"/>
      <c r="AE244" s="55"/>
      <c r="AF244" s="56">
        <v>11</v>
      </c>
    </row>
    <row r="245" spans="1:32" s="56" customFormat="1" ht="11.55" customHeight="1">
      <c r="A245" s="1"/>
      <c r="B245" s="3"/>
      <c r="C245" s="3"/>
      <c r="K245" s="2"/>
      <c r="L245" s="3"/>
      <c r="M245" s="3"/>
      <c r="N245" s="2"/>
      <c r="O245" s="2"/>
      <c r="P245" s="2"/>
      <c r="Q245" s="2"/>
      <c r="R245" s="3"/>
      <c r="S245" s="2"/>
      <c r="T245" s="2"/>
      <c r="U245" s="5"/>
      <c r="V245" s="2"/>
      <c r="W245" s="2"/>
      <c r="X245" s="2"/>
      <c r="Y245" s="2"/>
      <c r="Z245" s="2"/>
      <c r="AA245" s="6"/>
      <c r="AB245" s="55"/>
      <c r="AC245" s="55"/>
      <c r="AD245" s="55"/>
      <c r="AE245" s="55"/>
      <c r="AF245" s="56">
        <v>11</v>
      </c>
    </row>
    <row r="246" spans="1:32" s="56" customFormat="1" ht="11.55" customHeight="1">
      <c r="A246" s="1"/>
      <c r="B246" s="3"/>
      <c r="C246" s="3"/>
      <c r="K246" s="2"/>
      <c r="L246" s="3"/>
      <c r="M246" s="3"/>
      <c r="N246" s="2"/>
      <c r="O246" s="2"/>
      <c r="P246" s="2"/>
      <c r="Q246" s="2"/>
      <c r="R246" s="3"/>
      <c r="S246" s="2"/>
      <c r="T246" s="2"/>
      <c r="U246" s="5"/>
      <c r="V246" s="2"/>
      <c r="W246" s="2"/>
      <c r="X246" s="2"/>
      <c r="Y246" s="2"/>
      <c r="Z246" s="2"/>
      <c r="AA246" s="6"/>
      <c r="AB246" s="55"/>
      <c r="AC246" s="55"/>
      <c r="AD246" s="55"/>
      <c r="AE246" s="55"/>
      <c r="AF246" s="56">
        <v>11</v>
      </c>
    </row>
    <row r="247" spans="1:32" s="56" customFormat="1" ht="11.55" customHeight="1">
      <c r="A247" s="1"/>
      <c r="B247" s="3"/>
      <c r="C247" s="3"/>
      <c r="K247" s="2"/>
      <c r="L247" s="3"/>
      <c r="M247" s="3"/>
      <c r="N247" s="2"/>
      <c r="O247" s="2"/>
      <c r="P247" s="2"/>
      <c r="Q247" s="2"/>
      <c r="R247" s="3"/>
      <c r="S247" s="2"/>
      <c r="T247" s="2"/>
      <c r="U247" s="5"/>
      <c r="V247" s="2"/>
      <c r="W247" s="2"/>
      <c r="X247" s="2"/>
      <c r="Y247" s="2"/>
      <c r="Z247" s="2"/>
      <c r="AA247" s="6"/>
      <c r="AB247" s="55"/>
      <c r="AC247" s="55"/>
      <c r="AD247" s="55"/>
      <c r="AE247" s="55"/>
      <c r="AF247" s="56">
        <v>11</v>
      </c>
    </row>
    <row r="248" spans="1:32" s="56" customFormat="1" ht="11.55" customHeight="1">
      <c r="A248" s="1"/>
      <c r="B248" s="3"/>
      <c r="C248" s="3"/>
      <c r="K248" s="2"/>
      <c r="L248" s="3"/>
      <c r="M248" s="3"/>
      <c r="N248" s="2"/>
      <c r="O248" s="2"/>
      <c r="P248" s="2"/>
      <c r="Q248" s="2"/>
      <c r="R248" s="3"/>
      <c r="S248" s="2"/>
      <c r="T248" s="2"/>
      <c r="U248" s="5"/>
      <c r="V248" s="2"/>
      <c r="W248" s="2"/>
      <c r="X248" s="2"/>
      <c r="Y248" s="2"/>
      <c r="Z248" s="2"/>
      <c r="AA248" s="6"/>
      <c r="AB248" s="55"/>
      <c r="AC248" s="55"/>
      <c r="AD248" s="55"/>
      <c r="AE248" s="55"/>
      <c r="AF248" s="56">
        <v>11</v>
      </c>
    </row>
    <row r="249" spans="1:32" s="56" customFormat="1" ht="11.55" customHeight="1">
      <c r="A249" s="1"/>
      <c r="B249" s="3"/>
      <c r="C249" s="3"/>
      <c r="K249" s="2"/>
      <c r="L249" s="3"/>
      <c r="M249" s="3"/>
      <c r="N249" s="2"/>
      <c r="O249" s="2"/>
      <c r="P249" s="2"/>
      <c r="Q249" s="2"/>
      <c r="R249" s="3"/>
      <c r="S249" s="2"/>
      <c r="T249" s="2"/>
      <c r="U249" s="5"/>
      <c r="V249" s="2"/>
      <c r="W249" s="2"/>
      <c r="X249" s="2"/>
      <c r="Y249" s="2"/>
      <c r="Z249" s="2"/>
      <c r="AA249" s="6"/>
      <c r="AB249" s="55"/>
      <c r="AC249" s="55"/>
      <c r="AD249" s="55"/>
      <c r="AE249" s="55"/>
      <c r="AF249" s="56">
        <v>11</v>
      </c>
    </row>
    <row r="250" spans="1:32" s="56" customFormat="1" ht="11.55" customHeight="1">
      <c r="A250" s="1"/>
      <c r="B250" s="3"/>
      <c r="C250" s="3"/>
      <c r="K250" s="2"/>
      <c r="L250" s="3"/>
      <c r="M250" s="3"/>
      <c r="N250" s="2"/>
      <c r="O250" s="2"/>
      <c r="P250" s="2"/>
      <c r="Q250" s="2"/>
      <c r="R250" s="3"/>
      <c r="S250" s="2"/>
      <c r="T250" s="2"/>
      <c r="U250" s="5"/>
      <c r="V250" s="2"/>
      <c r="W250" s="2"/>
      <c r="X250" s="2"/>
      <c r="Y250" s="2"/>
      <c r="Z250" s="2"/>
      <c r="AA250" s="6"/>
      <c r="AB250" s="55"/>
      <c r="AC250" s="55"/>
      <c r="AD250" s="55"/>
      <c r="AE250" s="55"/>
      <c r="AF250" s="56">
        <v>11</v>
      </c>
    </row>
    <row r="251" spans="1:32" s="56" customFormat="1" ht="11.55" customHeight="1">
      <c r="A251" s="1"/>
      <c r="B251" s="3"/>
      <c r="C251" s="3"/>
      <c r="K251" s="2"/>
      <c r="L251" s="3"/>
      <c r="M251" s="3"/>
      <c r="N251" s="2"/>
      <c r="O251" s="2"/>
      <c r="P251" s="2"/>
      <c r="Q251" s="2"/>
      <c r="R251" s="3"/>
      <c r="S251" s="2"/>
      <c r="T251" s="2"/>
      <c r="U251" s="5"/>
      <c r="V251" s="2"/>
      <c r="W251" s="2"/>
      <c r="X251" s="2"/>
      <c r="Y251" s="2"/>
      <c r="Z251" s="2"/>
      <c r="AA251" s="6"/>
      <c r="AB251" s="55"/>
      <c r="AC251" s="55"/>
      <c r="AD251" s="55"/>
      <c r="AE251" s="55"/>
      <c r="AF251" s="56">
        <v>11</v>
      </c>
    </row>
    <row r="252" spans="1:32" s="56" customFormat="1" ht="11.55" customHeight="1">
      <c r="A252" s="1"/>
      <c r="B252" s="3"/>
      <c r="C252" s="3"/>
      <c r="K252" s="2"/>
      <c r="L252" s="3"/>
      <c r="M252" s="3"/>
      <c r="N252" s="2"/>
      <c r="O252" s="2"/>
      <c r="P252" s="2"/>
      <c r="Q252" s="2"/>
      <c r="R252" s="3"/>
      <c r="S252" s="2"/>
      <c r="T252" s="2"/>
      <c r="U252" s="5"/>
      <c r="V252" s="2"/>
      <c r="W252" s="2"/>
      <c r="X252" s="2"/>
      <c r="Y252" s="2"/>
      <c r="Z252" s="2"/>
      <c r="AA252" s="6"/>
      <c r="AB252" s="55"/>
      <c r="AC252" s="55"/>
      <c r="AD252" s="55"/>
      <c r="AE252" s="55"/>
      <c r="AF252" s="56">
        <v>11</v>
      </c>
    </row>
    <row r="253" spans="1:32" s="56" customFormat="1" ht="11.55" customHeight="1">
      <c r="A253" s="1"/>
      <c r="B253" s="3"/>
      <c r="C253" s="3"/>
      <c r="K253" s="2"/>
      <c r="L253" s="3"/>
      <c r="M253" s="3"/>
      <c r="N253" s="2"/>
      <c r="O253" s="2"/>
      <c r="P253" s="2"/>
      <c r="Q253" s="2"/>
      <c r="R253" s="3"/>
      <c r="S253" s="2"/>
      <c r="T253" s="2"/>
      <c r="U253" s="5"/>
      <c r="V253" s="2"/>
      <c r="W253" s="2"/>
      <c r="X253" s="2"/>
      <c r="Y253" s="2"/>
      <c r="Z253" s="2"/>
      <c r="AA253" s="6"/>
      <c r="AB253" s="55"/>
      <c r="AC253" s="55"/>
      <c r="AD253" s="55"/>
      <c r="AE253" s="55"/>
      <c r="AF253" s="56">
        <v>11</v>
      </c>
    </row>
    <row r="254" spans="1:32" s="56" customFormat="1" ht="11.55" customHeight="1">
      <c r="A254" s="1"/>
      <c r="B254" s="3"/>
      <c r="C254" s="3"/>
      <c r="K254" s="2"/>
      <c r="L254" s="3"/>
      <c r="M254" s="3"/>
      <c r="N254" s="2"/>
      <c r="O254" s="2"/>
      <c r="P254" s="2"/>
      <c r="Q254" s="2"/>
      <c r="R254" s="3"/>
      <c r="S254" s="2"/>
      <c r="T254" s="2"/>
      <c r="U254" s="5"/>
      <c r="V254" s="2"/>
      <c r="W254" s="2"/>
      <c r="X254" s="2"/>
      <c r="Y254" s="2"/>
      <c r="Z254" s="2"/>
      <c r="AA254" s="6"/>
      <c r="AB254" s="55"/>
      <c r="AC254" s="55"/>
      <c r="AD254" s="55"/>
      <c r="AE254" s="55"/>
      <c r="AF254" s="56">
        <v>11</v>
      </c>
    </row>
    <row r="255" spans="1:32" s="56" customFormat="1" ht="11.55" customHeight="1">
      <c r="A255" s="1"/>
      <c r="B255" s="3"/>
      <c r="C255" s="3"/>
      <c r="K255" s="2"/>
      <c r="L255" s="3"/>
      <c r="M255" s="3"/>
      <c r="N255" s="2"/>
      <c r="O255" s="2"/>
      <c r="P255" s="2"/>
      <c r="Q255" s="2"/>
      <c r="R255" s="3"/>
      <c r="S255" s="2"/>
      <c r="T255" s="2"/>
      <c r="U255" s="5"/>
      <c r="V255" s="2"/>
      <c r="W255" s="2"/>
      <c r="X255" s="2"/>
      <c r="Y255" s="2"/>
      <c r="Z255" s="2"/>
      <c r="AA255" s="6"/>
      <c r="AB255" s="55"/>
      <c r="AC255" s="55"/>
      <c r="AD255" s="55"/>
      <c r="AE255" s="55"/>
      <c r="AF255" s="56">
        <v>11</v>
      </c>
    </row>
    <row r="256" spans="1:32" s="56" customFormat="1" ht="11.55" customHeight="1">
      <c r="A256" s="1"/>
      <c r="B256" s="3"/>
      <c r="C256" s="3"/>
      <c r="K256" s="2"/>
      <c r="L256" s="3"/>
      <c r="M256" s="3"/>
      <c r="N256" s="2"/>
      <c r="O256" s="2"/>
      <c r="P256" s="2"/>
      <c r="Q256" s="2"/>
      <c r="R256" s="3"/>
      <c r="S256" s="2"/>
      <c r="T256" s="2"/>
      <c r="U256" s="5"/>
      <c r="V256" s="2"/>
      <c r="W256" s="2"/>
      <c r="X256" s="2"/>
      <c r="Y256" s="2"/>
      <c r="Z256" s="2"/>
      <c r="AA256" s="6"/>
      <c r="AB256" s="55"/>
      <c r="AC256" s="55"/>
      <c r="AD256" s="55"/>
      <c r="AE256" s="55"/>
      <c r="AF256" s="56">
        <v>11</v>
      </c>
    </row>
    <row r="257" spans="1:32" s="56" customFormat="1" ht="11.55" customHeight="1">
      <c r="A257" s="1"/>
      <c r="B257" s="3"/>
      <c r="C257" s="3"/>
      <c r="K257" s="2"/>
      <c r="L257" s="3"/>
      <c r="M257" s="3"/>
      <c r="N257" s="2"/>
      <c r="O257" s="2"/>
      <c r="P257" s="2"/>
      <c r="Q257" s="2"/>
      <c r="R257" s="3"/>
      <c r="S257" s="2"/>
      <c r="T257" s="2"/>
      <c r="U257" s="5"/>
      <c r="V257" s="2"/>
      <c r="W257" s="2"/>
      <c r="X257" s="2"/>
      <c r="Y257" s="2"/>
      <c r="Z257" s="2"/>
      <c r="AA257" s="6"/>
      <c r="AB257" s="55"/>
      <c r="AC257" s="55"/>
      <c r="AD257" s="55"/>
      <c r="AE257" s="55"/>
      <c r="AF257" s="56">
        <v>11</v>
      </c>
    </row>
    <row r="258" spans="1:32" s="56" customFormat="1" ht="11.55" customHeight="1">
      <c r="A258" s="1"/>
      <c r="B258" s="3"/>
      <c r="C258" s="3"/>
      <c r="K258" s="2"/>
      <c r="L258" s="3"/>
      <c r="M258" s="3"/>
      <c r="N258" s="2"/>
      <c r="O258" s="2"/>
      <c r="P258" s="2"/>
      <c r="Q258" s="2"/>
      <c r="R258" s="3"/>
      <c r="S258" s="2"/>
      <c r="T258" s="2"/>
      <c r="U258" s="5"/>
      <c r="V258" s="2"/>
      <c r="W258" s="2"/>
      <c r="X258" s="2"/>
      <c r="Y258" s="2"/>
      <c r="Z258" s="2"/>
      <c r="AA258" s="6"/>
      <c r="AB258" s="55"/>
      <c r="AC258" s="55"/>
      <c r="AD258" s="55"/>
      <c r="AE258" s="55"/>
      <c r="AF258" s="56">
        <v>11</v>
      </c>
    </row>
    <row r="259" spans="1:32" s="56" customFormat="1" ht="11.55" customHeight="1">
      <c r="A259" s="1"/>
      <c r="B259" s="3"/>
      <c r="C259" s="3"/>
      <c r="K259" s="2"/>
      <c r="L259" s="3"/>
      <c r="M259" s="3"/>
      <c r="N259" s="2"/>
      <c r="O259" s="2"/>
      <c r="P259" s="2"/>
      <c r="Q259" s="2"/>
      <c r="R259" s="3"/>
      <c r="S259" s="2"/>
      <c r="T259" s="2"/>
      <c r="U259" s="5"/>
      <c r="V259" s="2"/>
      <c r="W259" s="2"/>
      <c r="X259" s="2"/>
      <c r="Y259" s="2"/>
      <c r="Z259" s="2"/>
      <c r="AA259" s="6"/>
      <c r="AB259" s="55"/>
      <c r="AC259" s="55"/>
      <c r="AD259" s="55"/>
      <c r="AE259" s="55"/>
      <c r="AF259" s="56">
        <v>11</v>
      </c>
    </row>
    <row r="260" spans="1:32" s="56" customFormat="1" ht="11.55" customHeight="1">
      <c r="A260" s="1"/>
      <c r="B260" s="3"/>
      <c r="C260" s="3"/>
      <c r="K260" s="2"/>
      <c r="L260" s="3"/>
      <c r="M260" s="3"/>
      <c r="N260" s="2"/>
      <c r="O260" s="2"/>
      <c r="P260" s="2"/>
      <c r="Q260" s="2"/>
      <c r="R260" s="3"/>
      <c r="S260" s="2"/>
      <c r="T260" s="2"/>
      <c r="U260" s="5"/>
      <c r="V260" s="2"/>
      <c r="W260" s="2"/>
      <c r="X260" s="2"/>
      <c r="Y260" s="2"/>
      <c r="Z260" s="2"/>
      <c r="AA260" s="6"/>
      <c r="AB260" s="55"/>
      <c r="AC260" s="55"/>
      <c r="AD260" s="55"/>
      <c r="AE260" s="55"/>
      <c r="AF260" s="56">
        <v>11</v>
      </c>
    </row>
    <row r="261" spans="1:32" s="56" customFormat="1" ht="11.55" customHeight="1">
      <c r="A261" s="1"/>
      <c r="B261" s="3"/>
      <c r="C261" s="3"/>
      <c r="K261" s="2"/>
      <c r="L261" s="3"/>
      <c r="M261" s="3"/>
      <c r="N261" s="2"/>
      <c r="O261" s="2"/>
      <c r="P261" s="2"/>
      <c r="Q261" s="2"/>
      <c r="R261" s="3"/>
      <c r="S261" s="2"/>
      <c r="T261" s="2"/>
      <c r="U261" s="5"/>
      <c r="V261" s="2"/>
      <c r="W261" s="2"/>
      <c r="X261" s="2"/>
      <c r="Y261" s="2"/>
      <c r="Z261" s="2"/>
      <c r="AA261" s="6"/>
      <c r="AB261" s="55"/>
      <c r="AC261" s="55"/>
      <c r="AD261" s="55"/>
      <c r="AE261" s="55"/>
      <c r="AF261" s="56">
        <v>11</v>
      </c>
    </row>
    <row r="262" spans="1:32" s="56" customFormat="1" ht="11.55" customHeight="1">
      <c r="A262" s="1"/>
      <c r="B262" s="3"/>
      <c r="C262" s="3"/>
      <c r="K262" s="2"/>
      <c r="L262" s="3"/>
      <c r="M262" s="3"/>
      <c r="N262" s="2"/>
      <c r="O262" s="2"/>
      <c r="P262" s="2"/>
      <c r="Q262" s="2"/>
      <c r="R262" s="3"/>
      <c r="S262" s="2"/>
      <c r="T262" s="2"/>
      <c r="U262" s="5"/>
      <c r="V262" s="2"/>
      <c r="W262" s="2"/>
      <c r="X262" s="2"/>
      <c r="Y262" s="2"/>
      <c r="Z262" s="2"/>
      <c r="AA262" s="6"/>
      <c r="AB262" s="55"/>
      <c r="AC262" s="55"/>
      <c r="AD262" s="55"/>
      <c r="AE262" s="55"/>
      <c r="AF262" s="56">
        <v>11</v>
      </c>
    </row>
    <row r="263" spans="1:32" s="56" customFormat="1" ht="11.55" customHeight="1">
      <c r="A263" s="1"/>
      <c r="B263" s="3"/>
      <c r="C263" s="3"/>
      <c r="K263" s="2"/>
      <c r="L263" s="3"/>
      <c r="M263" s="3"/>
      <c r="N263" s="2"/>
      <c r="O263" s="2"/>
      <c r="P263" s="2"/>
      <c r="Q263" s="2"/>
      <c r="R263" s="3"/>
      <c r="S263" s="2"/>
      <c r="T263" s="2"/>
      <c r="U263" s="5"/>
      <c r="V263" s="2"/>
      <c r="W263" s="2"/>
      <c r="X263" s="2"/>
      <c r="Y263" s="2"/>
      <c r="Z263" s="2"/>
      <c r="AA263" s="6"/>
      <c r="AB263" s="55"/>
      <c r="AC263" s="55"/>
      <c r="AD263" s="55"/>
      <c r="AE263" s="55"/>
      <c r="AF263" s="56">
        <v>11</v>
      </c>
    </row>
    <row r="264" spans="1:32" s="56" customFormat="1" ht="11.55" customHeight="1">
      <c r="A264" s="1"/>
      <c r="B264" s="3"/>
      <c r="C264" s="3"/>
      <c r="K264" s="2"/>
      <c r="L264" s="3"/>
      <c r="M264" s="3"/>
      <c r="N264" s="2"/>
      <c r="O264" s="2"/>
      <c r="P264" s="2"/>
      <c r="Q264" s="2"/>
      <c r="R264" s="3"/>
      <c r="S264" s="2"/>
      <c r="T264" s="2"/>
      <c r="U264" s="5"/>
      <c r="V264" s="2"/>
      <c r="W264" s="2"/>
      <c r="X264" s="2"/>
      <c r="Y264" s="2"/>
      <c r="Z264" s="2"/>
      <c r="AA264" s="6"/>
      <c r="AB264" s="55"/>
      <c r="AC264" s="55"/>
      <c r="AD264" s="55"/>
      <c r="AE264" s="55"/>
      <c r="AF264" s="56">
        <v>11</v>
      </c>
    </row>
    <row r="265" spans="1:32" s="56" customFormat="1" ht="11.55" customHeight="1">
      <c r="A265" s="1"/>
      <c r="B265" s="3"/>
      <c r="C265" s="3"/>
      <c r="K265" s="2"/>
      <c r="L265" s="3"/>
      <c r="M265" s="3"/>
      <c r="N265" s="2"/>
      <c r="O265" s="2"/>
      <c r="P265" s="2"/>
      <c r="Q265" s="2"/>
      <c r="R265" s="3"/>
      <c r="S265" s="2"/>
      <c r="T265" s="2"/>
      <c r="U265" s="5"/>
      <c r="V265" s="2"/>
      <c r="W265" s="2"/>
      <c r="X265" s="2"/>
      <c r="Y265" s="2"/>
      <c r="Z265" s="2"/>
      <c r="AA265" s="6"/>
      <c r="AB265" s="55"/>
      <c r="AC265" s="55"/>
      <c r="AD265" s="55"/>
      <c r="AE265" s="55"/>
      <c r="AF265" s="56">
        <v>11</v>
      </c>
    </row>
    <row r="266" spans="1:32" s="56" customFormat="1" ht="11.55" customHeight="1">
      <c r="A266" s="1"/>
      <c r="B266" s="3"/>
      <c r="C266" s="3"/>
      <c r="K266" s="2"/>
      <c r="L266" s="3"/>
      <c r="M266" s="3"/>
      <c r="N266" s="2"/>
      <c r="O266" s="2"/>
      <c r="P266" s="2"/>
      <c r="Q266" s="2"/>
      <c r="R266" s="3"/>
      <c r="S266" s="2"/>
      <c r="T266" s="2"/>
      <c r="U266" s="5"/>
      <c r="V266" s="2"/>
      <c r="W266" s="2"/>
      <c r="X266" s="2"/>
      <c r="Y266" s="2"/>
      <c r="Z266" s="2"/>
      <c r="AA266" s="6"/>
      <c r="AB266" s="55"/>
      <c r="AC266" s="55"/>
      <c r="AD266" s="55"/>
      <c r="AE266" s="55"/>
      <c r="AF266" s="56">
        <v>11</v>
      </c>
    </row>
    <row r="267" spans="1:32" s="56" customFormat="1" ht="11.55" customHeight="1">
      <c r="A267" s="1"/>
      <c r="B267" s="3"/>
      <c r="C267" s="3"/>
      <c r="K267" s="2"/>
      <c r="L267" s="3"/>
      <c r="M267" s="3"/>
      <c r="N267" s="2"/>
      <c r="O267" s="2"/>
      <c r="P267" s="2"/>
      <c r="Q267" s="2"/>
      <c r="R267" s="3"/>
      <c r="S267" s="2"/>
      <c r="T267" s="2"/>
      <c r="U267" s="5"/>
      <c r="V267" s="2"/>
      <c r="W267" s="2"/>
      <c r="X267" s="2"/>
      <c r="Y267" s="2"/>
      <c r="Z267" s="2"/>
      <c r="AA267" s="6"/>
      <c r="AB267" s="55"/>
      <c r="AC267" s="55"/>
      <c r="AD267" s="55"/>
      <c r="AE267" s="55"/>
      <c r="AF267" s="56">
        <v>11</v>
      </c>
    </row>
    <row r="268" spans="1:32" s="56" customFormat="1" ht="11.55" customHeight="1">
      <c r="A268" s="1"/>
      <c r="B268" s="3"/>
      <c r="C268" s="3"/>
      <c r="K268" s="2"/>
      <c r="L268" s="3"/>
      <c r="M268" s="3"/>
      <c r="N268" s="2"/>
      <c r="O268" s="2"/>
      <c r="P268" s="2"/>
      <c r="Q268" s="2"/>
      <c r="R268" s="3"/>
      <c r="S268" s="2"/>
      <c r="T268" s="2"/>
      <c r="U268" s="5"/>
      <c r="V268" s="2"/>
      <c r="W268" s="2"/>
      <c r="X268" s="2"/>
      <c r="Y268" s="2"/>
      <c r="Z268" s="2"/>
      <c r="AA268" s="6"/>
      <c r="AB268" s="55"/>
      <c r="AC268" s="55"/>
      <c r="AD268" s="55"/>
      <c r="AE268" s="55"/>
      <c r="AF268" s="56">
        <v>11</v>
      </c>
    </row>
    <row r="269" spans="1:32" s="56" customFormat="1" ht="11.55" customHeight="1">
      <c r="A269" s="1"/>
      <c r="B269" s="3"/>
      <c r="C269" s="3"/>
      <c r="K269" s="2"/>
      <c r="L269" s="3"/>
      <c r="M269" s="3"/>
      <c r="N269" s="2"/>
      <c r="O269" s="2"/>
      <c r="P269" s="2"/>
      <c r="Q269" s="2"/>
      <c r="R269" s="3"/>
      <c r="S269" s="2"/>
      <c r="T269" s="2"/>
      <c r="U269" s="5"/>
      <c r="V269" s="2"/>
      <c r="W269" s="2"/>
      <c r="X269" s="2"/>
      <c r="Y269" s="2"/>
      <c r="Z269" s="2"/>
      <c r="AA269" s="6"/>
      <c r="AB269" s="55"/>
      <c r="AC269" s="55"/>
      <c r="AD269" s="55"/>
      <c r="AE269" s="55"/>
      <c r="AF269" s="56">
        <v>11</v>
      </c>
    </row>
    <row r="270" spans="1:32" s="56" customFormat="1" ht="11.55" customHeight="1">
      <c r="A270" s="1"/>
      <c r="B270" s="3"/>
      <c r="C270" s="3"/>
      <c r="K270" s="2"/>
      <c r="L270" s="3"/>
      <c r="M270" s="3"/>
      <c r="N270" s="2"/>
      <c r="O270" s="2"/>
      <c r="P270" s="2"/>
      <c r="Q270" s="2"/>
      <c r="R270" s="3"/>
      <c r="S270" s="2"/>
      <c r="T270" s="2"/>
      <c r="U270" s="5"/>
      <c r="V270" s="2"/>
      <c r="W270" s="2"/>
      <c r="X270" s="2"/>
      <c r="Y270" s="2"/>
      <c r="Z270" s="2"/>
      <c r="AA270" s="6"/>
      <c r="AB270" s="55"/>
      <c r="AC270" s="55"/>
      <c r="AD270" s="55"/>
      <c r="AE270" s="55"/>
      <c r="AF270" s="56">
        <v>11</v>
      </c>
    </row>
    <row r="271" spans="1:32" s="56" customFormat="1" ht="11.55" customHeight="1">
      <c r="A271" s="1"/>
      <c r="B271" s="3"/>
      <c r="C271" s="3"/>
      <c r="K271" s="2"/>
      <c r="L271" s="3"/>
      <c r="M271" s="3"/>
      <c r="N271" s="2"/>
      <c r="O271" s="2"/>
      <c r="P271" s="2"/>
      <c r="Q271" s="2"/>
      <c r="R271" s="3"/>
      <c r="S271" s="2"/>
      <c r="T271" s="2"/>
      <c r="U271" s="5"/>
      <c r="V271" s="2"/>
      <c r="W271" s="2"/>
      <c r="X271" s="2"/>
      <c r="Y271" s="2"/>
      <c r="Z271" s="2"/>
      <c r="AA271" s="6"/>
      <c r="AB271" s="55"/>
      <c r="AC271" s="55"/>
      <c r="AD271" s="55"/>
      <c r="AE271" s="55"/>
      <c r="AF271" s="56">
        <v>11</v>
      </c>
    </row>
    <row r="272" spans="1:32" s="56" customFormat="1" ht="11.55" customHeight="1">
      <c r="A272" s="1"/>
      <c r="B272" s="3"/>
      <c r="C272" s="3"/>
      <c r="K272" s="2"/>
      <c r="L272" s="3"/>
      <c r="M272" s="3"/>
      <c r="N272" s="2"/>
      <c r="O272" s="2"/>
      <c r="P272" s="2"/>
      <c r="Q272" s="2"/>
      <c r="R272" s="3"/>
      <c r="S272" s="2"/>
      <c r="T272" s="2"/>
      <c r="U272" s="5"/>
      <c r="V272" s="2"/>
      <c r="W272" s="2"/>
      <c r="X272" s="2"/>
      <c r="Y272" s="2"/>
      <c r="Z272" s="2"/>
      <c r="AA272" s="6"/>
      <c r="AB272" s="55"/>
      <c r="AC272" s="55"/>
      <c r="AD272" s="55"/>
      <c r="AE272" s="55"/>
      <c r="AF272" s="56">
        <v>11</v>
      </c>
    </row>
    <row r="273" spans="1:32" s="56" customFormat="1" ht="11.55" customHeight="1">
      <c r="A273" s="1"/>
      <c r="B273" s="3"/>
      <c r="C273" s="3"/>
      <c r="K273" s="2"/>
      <c r="L273" s="3"/>
      <c r="M273" s="3"/>
      <c r="N273" s="2"/>
      <c r="O273" s="2"/>
      <c r="P273" s="2"/>
      <c r="Q273" s="2"/>
      <c r="R273" s="3"/>
      <c r="S273" s="2"/>
      <c r="T273" s="2"/>
      <c r="U273" s="5"/>
      <c r="V273" s="2"/>
      <c r="W273" s="2"/>
      <c r="X273" s="2"/>
      <c r="Y273" s="2"/>
      <c r="Z273" s="2"/>
      <c r="AA273" s="6"/>
      <c r="AB273" s="55"/>
      <c r="AC273" s="55"/>
      <c r="AD273" s="55"/>
      <c r="AE273" s="55"/>
      <c r="AF273" s="56">
        <v>11</v>
      </c>
    </row>
    <row r="274" spans="1:32" s="56" customFormat="1" ht="11.55" customHeight="1">
      <c r="A274" s="1"/>
      <c r="B274" s="3"/>
      <c r="C274" s="3"/>
      <c r="K274" s="2"/>
      <c r="L274" s="3"/>
      <c r="M274" s="3"/>
      <c r="N274" s="2"/>
      <c r="O274" s="2"/>
      <c r="P274" s="2"/>
      <c r="Q274" s="2"/>
      <c r="R274" s="3"/>
      <c r="S274" s="2"/>
      <c r="T274" s="2"/>
      <c r="U274" s="5"/>
      <c r="V274" s="2"/>
      <c r="W274" s="2"/>
      <c r="X274" s="2"/>
      <c r="Y274" s="2"/>
      <c r="Z274" s="2"/>
      <c r="AA274" s="6"/>
      <c r="AB274" s="55"/>
      <c r="AC274" s="55"/>
      <c r="AD274" s="55"/>
      <c r="AE274" s="55"/>
      <c r="AF274" s="56">
        <v>11</v>
      </c>
    </row>
    <row r="275" spans="1:32" s="56" customFormat="1" ht="11.55" customHeight="1">
      <c r="A275" s="1"/>
      <c r="B275" s="3"/>
      <c r="C275" s="3"/>
      <c r="K275" s="2"/>
      <c r="L275" s="3"/>
      <c r="M275" s="3"/>
      <c r="N275" s="2"/>
      <c r="O275" s="2"/>
      <c r="P275" s="2"/>
      <c r="Q275" s="2"/>
      <c r="R275" s="3"/>
      <c r="S275" s="2"/>
      <c r="T275" s="2"/>
      <c r="U275" s="5"/>
      <c r="V275" s="2"/>
      <c r="W275" s="2"/>
      <c r="X275" s="2"/>
      <c r="Y275" s="2"/>
      <c r="Z275" s="2"/>
      <c r="AA275" s="6"/>
      <c r="AB275" s="55"/>
      <c r="AC275" s="55"/>
      <c r="AD275" s="55"/>
      <c r="AE275" s="55"/>
      <c r="AF275" s="56">
        <v>11</v>
      </c>
    </row>
    <row r="276" spans="1:32" s="56" customFormat="1" ht="11.55" customHeight="1">
      <c r="A276" s="1"/>
      <c r="B276" s="3"/>
      <c r="C276" s="3"/>
      <c r="K276" s="2"/>
      <c r="L276" s="3"/>
      <c r="M276" s="3"/>
      <c r="N276" s="2"/>
      <c r="O276" s="2"/>
      <c r="P276" s="2"/>
      <c r="Q276" s="2"/>
      <c r="R276" s="3"/>
      <c r="S276" s="2"/>
      <c r="T276" s="2"/>
      <c r="U276" s="5"/>
      <c r="V276" s="2"/>
      <c r="W276" s="2"/>
      <c r="X276" s="2"/>
      <c r="Y276" s="2"/>
      <c r="Z276" s="2"/>
      <c r="AA276" s="6"/>
      <c r="AB276" s="55"/>
      <c r="AC276" s="55"/>
      <c r="AD276" s="55"/>
      <c r="AE276" s="55"/>
      <c r="AF276" s="56">
        <v>11</v>
      </c>
    </row>
    <row r="277" spans="1:32" s="56" customFormat="1" ht="11.55" customHeight="1">
      <c r="A277" s="1"/>
      <c r="B277" s="3"/>
      <c r="C277" s="3"/>
      <c r="K277" s="2"/>
      <c r="L277" s="3"/>
      <c r="M277" s="3"/>
      <c r="N277" s="2"/>
      <c r="O277" s="2"/>
      <c r="P277" s="2"/>
      <c r="Q277" s="2"/>
      <c r="R277" s="3"/>
      <c r="S277" s="2"/>
      <c r="T277" s="2"/>
      <c r="U277" s="5"/>
      <c r="V277" s="2"/>
      <c r="W277" s="2"/>
      <c r="X277" s="2"/>
      <c r="Y277" s="2"/>
      <c r="Z277" s="2"/>
      <c r="AA277" s="6"/>
      <c r="AB277" s="55"/>
      <c r="AC277" s="55"/>
      <c r="AD277" s="55"/>
      <c r="AE277" s="55"/>
      <c r="AF277" s="56">
        <v>11</v>
      </c>
    </row>
    <row r="278" spans="1:32" s="56" customFormat="1" ht="11.55" customHeight="1">
      <c r="A278" s="1"/>
      <c r="B278" s="3"/>
      <c r="C278" s="3"/>
      <c r="K278" s="2"/>
      <c r="L278" s="3"/>
      <c r="M278" s="3"/>
      <c r="N278" s="2"/>
      <c r="O278" s="2"/>
      <c r="P278" s="2"/>
      <c r="Q278" s="2"/>
      <c r="R278" s="3"/>
      <c r="S278" s="2"/>
      <c r="T278" s="2"/>
      <c r="U278" s="5"/>
      <c r="V278" s="2"/>
      <c r="W278" s="2"/>
      <c r="X278" s="2"/>
      <c r="Y278" s="2"/>
      <c r="Z278" s="2"/>
      <c r="AA278" s="6"/>
      <c r="AB278" s="55"/>
      <c r="AC278" s="55"/>
      <c r="AD278" s="55"/>
      <c r="AE278" s="55"/>
      <c r="AF278" s="56">
        <v>11</v>
      </c>
    </row>
    <row r="279" spans="1:32" s="56" customFormat="1" ht="11.55" customHeight="1">
      <c r="A279" s="1"/>
      <c r="B279" s="3"/>
      <c r="C279" s="3"/>
      <c r="K279" s="2"/>
      <c r="L279" s="3"/>
      <c r="M279" s="3"/>
      <c r="N279" s="2"/>
      <c r="O279" s="2"/>
      <c r="P279" s="2"/>
      <c r="Q279" s="2"/>
      <c r="R279" s="3"/>
      <c r="S279" s="2"/>
      <c r="T279" s="2"/>
      <c r="U279" s="5"/>
      <c r="V279" s="2"/>
      <c r="W279" s="2"/>
      <c r="X279" s="2"/>
      <c r="Y279" s="2"/>
      <c r="Z279" s="2"/>
      <c r="AA279" s="6"/>
      <c r="AB279" s="55"/>
      <c r="AC279" s="55"/>
      <c r="AD279" s="55"/>
      <c r="AE279" s="55"/>
      <c r="AF279" s="56">
        <v>11</v>
      </c>
    </row>
    <row r="280" spans="1:32" s="56" customFormat="1" ht="11.55" customHeight="1">
      <c r="A280" s="1"/>
      <c r="B280" s="3"/>
      <c r="C280" s="3"/>
      <c r="K280" s="2"/>
      <c r="L280" s="3"/>
      <c r="M280" s="3"/>
      <c r="N280" s="2"/>
      <c r="O280" s="2"/>
      <c r="P280" s="2"/>
      <c r="Q280" s="2"/>
      <c r="R280" s="3"/>
      <c r="S280" s="2"/>
      <c r="T280" s="2"/>
      <c r="U280" s="5"/>
      <c r="V280" s="2"/>
      <c r="W280" s="2"/>
      <c r="X280" s="2"/>
      <c r="Y280" s="2"/>
      <c r="Z280" s="2"/>
      <c r="AA280" s="6"/>
      <c r="AB280" s="55"/>
      <c r="AC280" s="55"/>
      <c r="AD280" s="55"/>
      <c r="AE280" s="55"/>
      <c r="AF280" s="56">
        <v>11</v>
      </c>
    </row>
    <row r="281" spans="1:32" s="56" customFormat="1" ht="11.55" customHeight="1">
      <c r="A281" s="1"/>
      <c r="B281" s="3"/>
      <c r="C281" s="3"/>
      <c r="K281" s="2"/>
      <c r="L281" s="3"/>
      <c r="M281" s="3"/>
      <c r="N281" s="2"/>
      <c r="O281" s="2"/>
      <c r="P281" s="2"/>
      <c r="Q281" s="2"/>
      <c r="R281" s="3"/>
      <c r="S281" s="2"/>
      <c r="T281" s="2"/>
      <c r="U281" s="5"/>
      <c r="V281" s="2"/>
      <c r="W281" s="2"/>
      <c r="X281" s="2"/>
      <c r="Y281" s="2"/>
      <c r="Z281" s="2"/>
      <c r="AA281" s="6"/>
      <c r="AB281" s="55"/>
      <c r="AC281" s="55"/>
      <c r="AD281" s="55"/>
      <c r="AE281" s="55"/>
      <c r="AF281" s="56">
        <v>11</v>
      </c>
    </row>
    <row r="282" spans="1:32" s="56" customFormat="1" ht="11.55" customHeight="1">
      <c r="A282" s="1"/>
      <c r="B282" s="3"/>
      <c r="C282" s="3"/>
      <c r="K282" s="2"/>
      <c r="L282" s="3"/>
      <c r="M282" s="3"/>
      <c r="N282" s="2"/>
      <c r="O282" s="2"/>
      <c r="P282" s="2"/>
      <c r="Q282" s="2"/>
      <c r="R282" s="3"/>
      <c r="S282" s="2"/>
      <c r="T282" s="2"/>
      <c r="U282" s="5"/>
      <c r="V282" s="2"/>
      <c r="W282" s="2"/>
      <c r="X282" s="2"/>
      <c r="Y282" s="2"/>
      <c r="Z282" s="2"/>
      <c r="AA282" s="6"/>
      <c r="AB282" s="55"/>
      <c r="AC282" s="55"/>
      <c r="AD282" s="55"/>
      <c r="AE282" s="55"/>
      <c r="AF282" s="56">
        <v>11</v>
      </c>
    </row>
    <row r="283" spans="1:32" s="56" customFormat="1" ht="11.55" customHeight="1">
      <c r="A283" s="1"/>
      <c r="B283" s="3"/>
      <c r="C283" s="3"/>
      <c r="K283" s="2"/>
      <c r="L283" s="3"/>
      <c r="M283" s="3"/>
      <c r="N283" s="2"/>
      <c r="O283" s="2"/>
      <c r="P283" s="2"/>
      <c r="Q283" s="2"/>
      <c r="R283" s="3"/>
      <c r="S283" s="2"/>
      <c r="T283" s="2"/>
      <c r="U283" s="5"/>
      <c r="V283" s="2"/>
      <c r="W283" s="2"/>
      <c r="X283" s="2"/>
      <c r="Y283" s="2"/>
      <c r="Z283" s="2"/>
      <c r="AA283" s="6"/>
      <c r="AB283" s="55"/>
      <c r="AC283" s="55"/>
      <c r="AD283" s="55"/>
      <c r="AE283" s="55"/>
      <c r="AF283" s="56">
        <v>11</v>
      </c>
    </row>
    <row r="284" spans="1:32" s="56" customFormat="1" ht="11.55" customHeight="1">
      <c r="A284" s="1"/>
      <c r="B284" s="3"/>
      <c r="C284" s="3"/>
      <c r="K284" s="2"/>
      <c r="L284" s="3"/>
      <c r="M284" s="3"/>
      <c r="N284" s="2"/>
      <c r="O284" s="2"/>
      <c r="P284" s="2"/>
      <c r="Q284" s="2"/>
      <c r="R284" s="3"/>
      <c r="S284" s="2"/>
      <c r="T284" s="2"/>
      <c r="U284" s="5"/>
      <c r="V284" s="2"/>
      <c r="W284" s="2"/>
      <c r="X284" s="2"/>
      <c r="Y284" s="2"/>
      <c r="Z284" s="2"/>
      <c r="AA284" s="6"/>
      <c r="AB284" s="55"/>
      <c r="AC284" s="55"/>
      <c r="AD284" s="55"/>
      <c r="AE284" s="55"/>
      <c r="AF284" s="56">
        <v>11</v>
      </c>
    </row>
    <row r="285" spans="1:32" s="56" customFormat="1" ht="11.55" customHeight="1">
      <c r="A285" s="1"/>
      <c r="B285" s="3"/>
      <c r="C285" s="3"/>
      <c r="K285" s="2"/>
      <c r="L285" s="3"/>
      <c r="M285" s="3"/>
      <c r="N285" s="2"/>
      <c r="O285" s="2"/>
      <c r="P285" s="2"/>
      <c r="Q285" s="2"/>
      <c r="R285" s="3"/>
      <c r="S285" s="2"/>
      <c r="T285" s="2"/>
      <c r="U285" s="5"/>
      <c r="V285" s="2"/>
      <c r="W285" s="2"/>
      <c r="X285" s="2"/>
      <c r="Y285" s="2"/>
      <c r="Z285" s="2"/>
      <c r="AA285" s="6"/>
      <c r="AB285" s="55"/>
      <c r="AC285" s="55"/>
      <c r="AD285" s="55"/>
      <c r="AE285" s="55"/>
      <c r="AF285" s="56">
        <v>11</v>
      </c>
    </row>
    <row r="286" spans="1:32" s="56" customFormat="1" ht="11.55" customHeight="1">
      <c r="A286" s="1"/>
      <c r="B286" s="3"/>
      <c r="C286" s="3"/>
      <c r="K286" s="2"/>
      <c r="L286" s="3"/>
      <c r="M286" s="3"/>
      <c r="N286" s="2"/>
      <c r="O286" s="2"/>
      <c r="P286" s="2"/>
      <c r="Q286" s="2"/>
      <c r="R286" s="3"/>
      <c r="S286" s="2"/>
      <c r="T286" s="2"/>
      <c r="U286" s="5"/>
      <c r="V286" s="2"/>
      <c r="W286" s="2"/>
      <c r="X286" s="2"/>
      <c r="Y286" s="2"/>
      <c r="Z286" s="2"/>
      <c r="AA286" s="6"/>
      <c r="AB286" s="55"/>
      <c r="AC286" s="55"/>
      <c r="AD286" s="55"/>
      <c r="AE286" s="55"/>
      <c r="AF286" s="56">
        <v>11</v>
      </c>
    </row>
    <row r="287" spans="1:32" s="56" customFormat="1" ht="11.55" customHeight="1">
      <c r="A287" s="1"/>
      <c r="B287" s="3"/>
      <c r="C287" s="3"/>
      <c r="K287" s="2"/>
      <c r="L287" s="3"/>
      <c r="M287" s="3"/>
      <c r="N287" s="2"/>
      <c r="O287" s="2"/>
      <c r="P287" s="2"/>
      <c r="Q287" s="2"/>
      <c r="R287" s="3"/>
      <c r="S287" s="2"/>
      <c r="T287" s="2"/>
      <c r="U287" s="5"/>
      <c r="V287" s="2"/>
      <c r="W287" s="2"/>
      <c r="X287" s="2"/>
      <c r="Y287" s="2"/>
      <c r="Z287" s="2"/>
      <c r="AA287" s="6"/>
      <c r="AB287" s="55"/>
      <c r="AC287" s="55"/>
      <c r="AD287" s="55"/>
      <c r="AE287" s="55"/>
      <c r="AF287" s="56">
        <v>11</v>
      </c>
    </row>
    <row r="288" spans="1:32" s="56" customFormat="1" ht="11.55" customHeight="1">
      <c r="A288" s="1"/>
      <c r="B288" s="3"/>
      <c r="C288" s="3"/>
      <c r="K288" s="2"/>
      <c r="L288" s="3"/>
      <c r="M288" s="3"/>
      <c r="N288" s="2"/>
      <c r="O288" s="2"/>
      <c r="P288" s="2"/>
      <c r="Q288" s="2"/>
      <c r="R288" s="3"/>
      <c r="S288" s="2"/>
      <c r="T288" s="2"/>
      <c r="U288" s="5"/>
      <c r="V288" s="2"/>
      <c r="W288" s="2"/>
      <c r="X288" s="2"/>
      <c r="Y288" s="2"/>
      <c r="Z288" s="2"/>
      <c r="AA288" s="6"/>
      <c r="AB288" s="55"/>
      <c r="AC288" s="55"/>
      <c r="AD288" s="55"/>
      <c r="AE288" s="55"/>
      <c r="AF288" s="56">
        <v>11</v>
      </c>
    </row>
    <row r="289" spans="1:32" ht="11.55" customHeight="1">
      <c r="AF289" s="4">
        <v>11</v>
      </c>
    </row>
    <row r="290" spans="1:32" ht="11.55" customHeight="1">
      <c r="AF290" s="4">
        <v>11</v>
      </c>
    </row>
    <row r="291" spans="1:32" ht="11.55" customHeight="1">
      <c r="AF291" s="4">
        <v>11</v>
      </c>
    </row>
    <row r="292" spans="1:32" ht="11.55" customHeight="1">
      <c r="A292" s="114"/>
      <c r="B292" s="4"/>
      <c r="K292" s="4"/>
      <c r="N292" s="4"/>
      <c r="O292" s="4"/>
      <c r="P292" s="4"/>
      <c r="Q292" s="4"/>
      <c r="S292" s="4"/>
      <c r="T292" s="4"/>
      <c r="U292" s="4"/>
      <c r="V292" s="4"/>
      <c r="W292" s="4"/>
      <c r="X292" s="4"/>
      <c r="Y292" s="4"/>
      <c r="Z292" s="4"/>
      <c r="AA292" s="4"/>
      <c r="AB292" s="4"/>
      <c r="AC292" s="4"/>
      <c r="AD292" s="4"/>
      <c r="AE292" s="4"/>
      <c r="AF292" s="4">
        <v>11</v>
      </c>
    </row>
    <row r="293" spans="1:32" ht="11.55" customHeight="1">
      <c r="A293" s="114"/>
      <c r="B293" s="4"/>
      <c r="K293" s="4"/>
      <c r="N293" s="4"/>
      <c r="O293" s="4"/>
      <c r="P293" s="4"/>
      <c r="Q293" s="4"/>
      <c r="S293" s="4"/>
      <c r="T293" s="4"/>
      <c r="U293" s="4"/>
      <c r="V293" s="4"/>
      <c r="W293" s="4"/>
      <c r="X293" s="4"/>
      <c r="Y293" s="4"/>
      <c r="Z293" s="4"/>
      <c r="AA293" s="4"/>
      <c r="AB293" s="4"/>
      <c r="AC293" s="4"/>
      <c r="AD293" s="4"/>
      <c r="AE293" s="4"/>
      <c r="AF293" s="4">
        <v>11</v>
      </c>
    </row>
    <row r="294" spans="1:32" ht="11.55" customHeight="1">
      <c r="A294" s="114"/>
      <c r="B294" s="4"/>
      <c r="K294" s="4"/>
      <c r="N294" s="4"/>
      <c r="O294" s="4"/>
      <c r="P294" s="4"/>
      <c r="Q294" s="4"/>
      <c r="S294" s="4"/>
      <c r="T294" s="4"/>
      <c r="U294" s="4"/>
      <c r="V294" s="4"/>
      <c r="W294" s="4"/>
      <c r="X294" s="4"/>
      <c r="Y294" s="4"/>
      <c r="Z294" s="4"/>
      <c r="AA294" s="4"/>
      <c r="AB294" s="4"/>
      <c r="AC294" s="4"/>
      <c r="AD294" s="4"/>
      <c r="AE294" s="4"/>
      <c r="AF294" s="4">
        <v>11</v>
      </c>
    </row>
    <row r="295" spans="1:32" ht="11.55" customHeight="1">
      <c r="A295" s="114"/>
      <c r="B295" s="4"/>
      <c r="K295" s="4"/>
      <c r="N295" s="4"/>
      <c r="O295" s="4"/>
      <c r="P295" s="4"/>
      <c r="Q295" s="4"/>
      <c r="S295" s="4"/>
      <c r="T295" s="4"/>
      <c r="U295" s="4"/>
      <c r="V295" s="4"/>
      <c r="W295" s="4"/>
      <c r="X295" s="4"/>
      <c r="Y295" s="4"/>
      <c r="Z295" s="4"/>
      <c r="AA295" s="4"/>
      <c r="AB295" s="4"/>
      <c r="AC295" s="4"/>
      <c r="AD295" s="4"/>
      <c r="AE295" s="4"/>
      <c r="AF295" s="4">
        <v>11</v>
      </c>
    </row>
    <row r="296" spans="1:32" ht="11.55" customHeight="1">
      <c r="A296" s="114"/>
      <c r="B296" s="4"/>
      <c r="K296" s="4"/>
      <c r="N296" s="4"/>
      <c r="O296" s="4"/>
      <c r="P296" s="4"/>
      <c r="Q296" s="4"/>
      <c r="S296" s="4"/>
      <c r="T296" s="4"/>
      <c r="U296" s="4"/>
      <c r="V296" s="4"/>
      <c r="W296" s="4"/>
      <c r="X296" s="4"/>
      <c r="Y296" s="4"/>
      <c r="Z296" s="4"/>
      <c r="AA296" s="4"/>
      <c r="AB296" s="4"/>
      <c r="AC296" s="4"/>
      <c r="AD296" s="4"/>
      <c r="AE296" s="4"/>
      <c r="AF296" s="4">
        <v>11</v>
      </c>
    </row>
    <row r="297" spans="1:32" ht="11.55" customHeight="1">
      <c r="A297" s="114"/>
      <c r="B297" s="4"/>
      <c r="K297" s="4"/>
      <c r="N297" s="4"/>
      <c r="O297" s="4"/>
      <c r="P297" s="4"/>
      <c r="Q297" s="4"/>
      <c r="S297" s="4"/>
      <c r="T297" s="4"/>
      <c r="U297" s="4"/>
      <c r="V297" s="4"/>
      <c r="W297" s="4"/>
      <c r="X297" s="4"/>
      <c r="Y297" s="4"/>
      <c r="Z297" s="4"/>
      <c r="AA297" s="4"/>
      <c r="AB297" s="4"/>
      <c r="AC297" s="4"/>
      <c r="AD297" s="4"/>
      <c r="AE297" s="4"/>
      <c r="AF297" s="4">
        <v>11</v>
      </c>
    </row>
    <row r="298" spans="1:32" ht="11.55" customHeight="1">
      <c r="A298" s="114"/>
      <c r="B298" s="4"/>
      <c r="K298" s="4"/>
      <c r="N298" s="4"/>
      <c r="O298" s="4"/>
      <c r="P298" s="4"/>
      <c r="Q298" s="4"/>
      <c r="S298" s="4"/>
      <c r="T298" s="4"/>
      <c r="U298" s="4"/>
      <c r="V298" s="4"/>
      <c r="W298" s="4"/>
      <c r="X298" s="4"/>
      <c r="Y298" s="4"/>
      <c r="Z298" s="4"/>
      <c r="AA298" s="4"/>
      <c r="AB298" s="4"/>
      <c r="AC298" s="4"/>
      <c r="AD298" s="4"/>
      <c r="AE298" s="4"/>
      <c r="AF298" s="4">
        <v>11</v>
      </c>
    </row>
    <row r="299" spans="1:32" ht="11.55" customHeight="1">
      <c r="A299" s="114"/>
      <c r="B299" s="4"/>
      <c r="K299" s="4"/>
      <c r="N299" s="4"/>
      <c r="O299" s="4"/>
      <c r="P299" s="4"/>
      <c r="Q299" s="4"/>
      <c r="S299" s="4"/>
      <c r="T299" s="4"/>
      <c r="U299" s="4"/>
      <c r="V299" s="4"/>
      <c r="W299" s="4"/>
      <c r="X299" s="4"/>
      <c r="Y299" s="4"/>
      <c r="Z299" s="4"/>
      <c r="AA299" s="4"/>
      <c r="AB299" s="4"/>
      <c r="AC299" s="4"/>
      <c r="AD299" s="4"/>
      <c r="AE299" s="4"/>
      <c r="AF299" s="4">
        <v>11</v>
      </c>
    </row>
    <row r="300" spans="1:32" ht="11.55" customHeight="1">
      <c r="A300" s="114"/>
      <c r="B300" s="4"/>
      <c r="K300" s="4"/>
      <c r="N300" s="4"/>
      <c r="O300" s="4"/>
      <c r="P300" s="4"/>
      <c r="Q300" s="4"/>
      <c r="S300" s="4"/>
      <c r="T300" s="4"/>
      <c r="U300" s="4"/>
      <c r="V300" s="4"/>
      <c r="W300" s="4"/>
      <c r="X300" s="4"/>
      <c r="Y300" s="4"/>
      <c r="Z300" s="4"/>
      <c r="AA300" s="4"/>
      <c r="AB300" s="4"/>
      <c r="AC300" s="4"/>
      <c r="AD300" s="4"/>
      <c r="AE300" s="4"/>
      <c r="AF300" s="4">
        <v>11</v>
      </c>
    </row>
    <row r="301" spans="1:32" ht="11.55" customHeight="1">
      <c r="A301" s="114"/>
      <c r="B301" s="4"/>
      <c r="K301" s="4"/>
      <c r="N301" s="4"/>
      <c r="O301" s="4"/>
      <c r="P301" s="4"/>
      <c r="Q301" s="4"/>
      <c r="S301" s="4"/>
      <c r="T301" s="4"/>
      <c r="U301" s="4"/>
      <c r="V301" s="4"/>
      <c r="W301" s="4"/>
      <c r="X301" s="4"/>
      <c r="Y301" s="4"/>
      <c r="Z301" s="4"/>
      <c r="AA301" s="4"/>
      <c r="AB301" s="4"/>
      <c r="AC301" s="4"/>
      <c r="AD301" s="4"/>
      <c r="AE301" s="4"/>
      <c r="AF301" s="4">
        <v>11</v>
      </c>
    </row>
    <row r="302" spans="1:32" ht="11.55" customHeight="1">
      <c r="A302" s="114"/>
      <c r="B302" s="4"/>
      <c r="K302" s="4"/>
      <c r="N302" s="4"/>
      <c r="O302" s="4"/>
      <c r="P302" s="4"/>
      <c r="Q302" s="4"/>
      <c r="S302" s="4"/>
      <c r="T302" s="4"/>
      <c r="U302" s="4"/>
      <c r="V302" s="4"/>
      <c r="W302" s="4"/>
      <c r="X302" s="4"/>
      <c r="Y302" s="4"/>
      <c r="Z302" s="4"/>
      <c r="AA302" s="4"/>
      <c r="AB302" s="4"/>
      <c r="AC302" s="4"/>
      <c r="AD302" s="4"/>
      <c r="AE302" s="4"/>
      <c r="AF302" s="4">
        <v>11</v>
      </c>
    </row>
    <row r="303" spans="1:32" ht="11.25" hidden="1" customHeight="1">
      <c r="A303" s="1" t="s">
        <v>67</v>
      </c>
      <c r="B303" s="2">
        <v>0</v>
      </c>
      <c r="C303" s="3">
        <v>0</v>
      </c>
      <c r="D303" s="4">
        <v>3</v>
      </c>
      <c r="E303" s="4">
        <v>7</v>
      </c>
      <c r="F303" s="4">
        <v>54</v>
      </c>
      <c r="G303" s="4">
        <v>10</v>
      </c>
      <c r="H303" s="4">
        <v>0</v>
      </c>
      <c r="I303" s="4">
        <v>40</v>
      </c>
      <c r="J303" s="4">
        <v>102</v>
      </c>
      <c r="K303" s="2">
        <v>9</v>
      </c>
      <c r="L303" s="3">
        <v>5</v>
      </c>
      <c r="M303" s="3">
        <v>3</v>
      </c>
      <c r="N303" s="2">
        <v>3</v>
      </c>
      <c r="O303" s="2">
        <v>3</v>
      </c>
      <c r="P303" s="2">
        <v>3</v>
      </c>
      <c r="Q303" s="2">
        <v>3</v>
      </c>
      <c r="R303" s="3">
        <v>10</v>
      </c>
      <c r="S303" s="2">
        <v>34</v>
      </c>
      <c r="T303" s="2">
        <v>9</v>
      </c>
      <c r="U303" s="5">
        <v>8</v>
      </c>
      <c r="V303" s="2">
        <v>8</v>
      </c>
      <c r="W303" s="2">
        <v>8</v>
      </c>
      <c r="X303" s="2">
        <v>8</v>
      </c>
      <c r="Y303" s="2">
        <v>8</v>
      </c>
      <c r="Z303" s="2">
        <v>8</v>
      </c>
      <c r="AA303" s="6">
        <v>8</v>
      </c>
      <c r="AB303" s="6">
        <v>8</v>
      </c>
      <c r="AC303" s="6">
        <v>8</v>
      </c>
      <c r="AD303" s="6">
        <v>8</v>
      </c>
      <c r="AE303" s="6">
        <v>8</v>
      </c>
      <c r="AF303" s="4">
        <v>11</v>
      </c>
    </row>
  </sheetData>
  <sheetProtection formatColumns="0" formatRows="0" insertRows="0" deleteColumns="0" deleteRows="0" sort="0" autoFilter="0"/>
  <mergeCells count="18">
    <mergeCell ref="A96:A98"/>
    <mergeCell ref="A99:A111"/>
    <mergeCell ref="A115:A119"/>
    <mergeCell ref="A120:A130"/>
    <mergeCell ref="A33:A40"/>
    <mergeCell ref="B34:B39"/>
    <mergeCell ref="A41:A43"/>
    <mergeCell ref="A67:A68"/>
    <mergeCell ref="A82:A90"/>
    <mergeCell ref="A91:A95"/>
    <mergeCell ref="B2:B7"/>
    <mergeCell ref="E21:I21"/>
    <mergeCell ref="E22:I22"/>
    <mergeCell ref="F25:G25"/>
    <mergeCell ref="J25:J29"/>
    <mergeCell ref="F26:G26"/>
    <mergeCell ref="F27:G27"/>
    <mergeCell ref="E28:G28"/>
  </mergeCells>
  <dataValidations count="12">
    <dataValidation allowBlank="1" showInputMessage="1" showErrorMessage="1" prompt="Для выбора выполните двойной щелчок левой клавиши мыши по соответствующей ячейке." sqref="H68:I68 H66:I66" xr:uid="{FB176581-35E7-4138-AA24-0B4C59D4BD31}"/>
    <dataValidation type="decimal" allowBlank="1" showErrorMessage="1" errorTitle="Ошибка" error="Введите значение от 0 до 100%" sqref="H90:I90 H95:I95" xr:uid="{5C833551-3560-4955-AF25-0F328ACC62AF}">
      <formula1>0</formula1>
      <formula2>100</formula2>
    </dataValidation>
    <dataValidation type="decimal" allowBlank="1" showErrorMessage="1" errorTitle="Ошибка" error="Допускается ввод только действительных чисел!" sqref="H123:I123 H120:I120 H126:I126 H75:I80" xr:uid="{4CFF5F7D-B4AD-4954-8B5B-B29AA670D9DD}">
      <formula1>-9.99999999999999E+37</formula1>
      <formula2>9.99999999999999E+37</formula2>
    </dataValidation>
    <dataValidation type="decimal" allowBlank="1" showErrorMessage="1" errorTitle="Ошибка" error="Допускается ввод только действительных чисел!" sqref="H72:I73" xr:uid="{B8E56256-DD74-4A54-AAD4-B1A22BEC3387}">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Web&quot;." sqref="H128:I130 H81:I81" xr:uid="{7019D292-5E40-454E-9BF3-A099AE3B3B99}">
      <formula1>900</formula1>
    </dataValidation>
    <dataValidation type="list" allowBlank="1" showInputMessage="1" showErrorMessage="1" errorTitle="Ошибка" error="Выберите значение из списка" prompt="Выберите значение из списка" sqref="G93" xr:uid="{E852DF47-F0BC-4317-A5F2-8782BC90B0F3}">
      <formula1>kind_of_volume_te_unit</formula1>
    </dataValidation>
    <dataValidation type="list" allowBlank="1" showInputMessage="1" showErrorMessage="1" errorTitle="Ошибка" error="Выберите значение из списка" prompt="Выберите значение из списка" sqref="F2" xr:uid="{89949EC5-24EC-4440-AE28-F76FE97CC0F5}">
      <formula1>kind_of_fuels</formula1>
    </dataValidation>
    <dataValidation type="textLength" operator="lessThanOrEqual" allowBlank="1" showInputMessage="1" showErrorMessage="1" errorTitle="Ошибка" error="Допускается ввод не более 900 символов!" prompt="Введите источник тепловой энергии" sqref="A1:XFD1" xr:uid="{E5965EF3-96A7-4F02-A789-999AF0DC907E}">
      <formula1>900</formula1>
    </dataValidation>
    <dataValidation type="decimal" allowBlank="1" showErrorMessage="1" errorTitle="Ошибка" error="Допускается ввод только неотрицательных чисел!" sqref="H67:I67 H69:I69 H91:I94 H127:I127 H30:I30 H32:I33 H35:I38 H40:I65 H82:I86 H17:I17 H9:I13 H15:I15 H96:I119 H74:I74 H88:I89 H4:I6" xr:uid="{51C6C873-FDD8-4473-92E1-488B02C89E6D}">
      <formula1>0</formula1>
      <formula2>9.99999999999999E+23</formula2>
    </dataValidation>
    <dataValidation type="textLength" operator="lessThanOrEqual" allowBlank="1" showInputMessage="1" showErrorMessage="1" errorTitle="Ошибка" error="Допускается ввод не более 900 символов!" sqref="G4 H34:I34 H39:I39" xr:uid="{B580FCB4-39F0-49AB-8341-BA3F04D15AD0}">
      <formula1>900</formula1>
    </dataValidation>
    <dataValidation type="textLength" operator="lessThanOrEqual" allowBlank="1" showInputMessage="1" showErrorMessage="1" errorTitle="Ошибка" error="Допускается ввод не более 900 символов!" prompt="Введите наименование прочих расходов" sqref="F12 F10 H70:I70" xr:uid="{AA343E36-D542-46E2-BA59-5D6C71304AF6}">
      <formula1>900</formula1>
    </dataValidation>
    <dataValidation type="list" allowBlank="1" showInputMessage="1" showErrorMessage="1" errorTitle="Ошибка" error="Выберите значение из списка" prompt="Выберите значение из списка" sqref="H7:I7" xr:uid="{7F0BDF66-7404-46FE-A45A-0078D20530C5}">
      <formula1>kind_of_purchase_method</formula1>
    </dataValidation>
  </dataValidations>
  <hyperlinks>
    <hyperlink ref="I128" r:id="rId1" xr:uid="{CD71852A-E20E-4156-AECE-A138A6618787}"/>
  </hyperlinks>
  <pageMargins left="0.7" right="0.7" top="0.75" bottom="0.75" header="0.3" footer="0.3"/>
  <pageSetup paperSize="9" orientation="portrait" r:id="rId2"/>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44</vt:i4>
      </vt:variant>
    </vt:vector>
  </HeadingPairs>
  <TitlesOfParts>
    <vt:vector size="45" baseType="lpstr">
      <vt:lpstr>форма 7</vt:lpstr>
      <vt:lpstr>B_FHD_CHECK_INDEX_1</vt:lpstr>
      <vt:lpstr>B_FHD_CHECK_INDEX_2</vt:lpstr>
      <vt:lpstr>B_FHD_COSTS_INDEX_1</vt:lpstr>
      <vt:lpstr>B_FHD_COSTS_INDEX_2</vt:lpstr>
      <vt:lpstr>B_FHD_DATA_TOP80_ACTIVITY</vt:lpstr>
      <vt:lpstr>B_FHD_diff_1</vt:lpstr>
      <vt:lpstr>B_FHD_FLAG_DIFFERENTIATION</vt:lpstr>
      <vt:lpstr>B_FHD_FLAG_INDEX_1</vt:lpstr>
      <vt:lpstr>B_FHD_FLAG_INDEX_2</vt:lpstr>
      <vt:lpstr>BLOCK_POK_FHD_COLDVSNA_P1</vt:lpstr>
      <vt:lpstr>BLOCK_POK_FHD_COLDVSNA_P2</vt:lpstr>
      <vt:lpstr>BLOCK_POK_FHD_HEAT_ONLY_REG_ORG_P1</vt:lpstr>
      <vt:lpstr>BLOCK_POK_FHD_HEAT_ONLY_REG_ORG_P2</vt:lpstr>
      <vt:lpstr>BLOCK_POK_FHD_HEAT_P1</vt:lpstr>
      <vt:lpstr>BLOCK_POK_FHD_HEAT_P2</vt:lpstr>
      <vt:lpstr>BLOCK_POK_FHD_HEAT_P3</vt:lpstr>
      <vt:lpstr>BLOCK_POK_FHD_HEAT_P4</vt:lpstr>
      <vt:lpstr>BLOCK_POK_FHD_HEAT_P5</vt:lpstr>
      <vt:lpstr>BLOCK_POK_FHD_HEAT_P6</vt:lpstr>
      <vt:lpstr>BLOCK_POK_FHD_HOTVSNA_P1</vt:lpstr>
      <vt:lpstr>BLOCK_POK_FHD_HOTVSNA_P2</vt:lpstr>
      <vt:lpstr>BLOCK_POK_FHD_NOT_HEAT_P1</vt:lpstr>
      <vt:lpstr>BLOCK_POK_FHD_NOT_HEAT_P2</vt:lpstr>
      <vt:lpstr>BLOCK_POK_FHD_NOT_HOTVSNA</vt:lpstr>
      <vt:lpstr>BLOCK_POK_FHD_VOTV_P1</vt:lpstr>
      <vt:lpstr>BLOCK_POK_FHD_VSNA</vt:lpstr>
      <vt:lpstr>et_hor_B_FHD_1</vt:lpstr>
      <vt:lpstr>et_hor_B_FHD_2</vt:lpstr>
      <vt:lpstr>et_hor_B_FHD_3</vt:lpstr>
      <vt:lpstr>et_hor_B_FHD_4</vt:lpstr>
      <vt:lpstr>et_hor_B_FHD_5</vt:lpstr>
      <vt:lpstr>et_hor_B_FHD_6</vt:lpstr>
      <vt:lpstr>et_ver_B_FHD_DIFFERENTIATION</vt:lpstr>
      <vt:lpstr>pHeader_B_FHD</vt:lpstr>
      <vt:lpstr>pHeader_ver_B_FHD</vt:lpstr>
      <vt:lpstr>pIns_B_FHD_1</vt:lpstr>
      <vt:lpstr>pIns_B_FHD_2</vt:lpstr>
      <vt:lpstr>pIns_B_FHD_3</vt:lpstr>
      <vt:lpstr>pIns_B_FHD_4</vt:lpstr>
      <vt:lpstr>pIns_B_FHD_5</vt:lpstr>
      <vt:lpstr>pIns_B_FHD_6</vt:lpstr>
      <vt:lpstr>pIns_B_FHD_DIFFERENTIATION</vt:lpstr>
      <vt:lpstr>tblEnd_1_B_FHD</vt:lpstr>
      <vt:lpstr>tblStart_1_B_FHD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Яна Александровна Третьякова</dc:creator>
  <cp:lastModifiedBy>Яна Александровна Третьякова</cp:lastModifiedBy>
  <dcterms:created xsi:type="dcterms:W3CDTF">2025-04-23T06:24:20Z</dcterms:created>
  <dcterms:modified xsi:type="dcterms:W3CDTF">2025-04-23T06:25:33Z</dcterms:modified>
</cp:coreProperties>
</file>