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92.168.1.7\экономисты2\РАБОЧАЯ ЯНА\"/>
    </mc:Choice>
  </mc:AlternateContent>
  <xr:revisionPtr revIDLastSave="0" documentId="8_{65C4344C-2E96-481A-A96A-9A60EF07E0F1}" xr6:coauthVersionLast="47" xr6:coauthVersionMax="47" xr10:uidLastSave="{00000000-0000-0000-0000-000000000000}"/>
  <bookViews>
    <workbookView xWindow="-108" yWindow="-108" windowWidth="23256" windowHeight="12576" tabRatio="852" activeTab="2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K101" i="63"/>
  <c r="N101" i="63" s="1"/>
  <c r="J130" i="33" s="1"/>
  <c r="J101" i="63"/>
  <c r="M101" i="63" s="1"/>
  <c r="F130" i="33" s="1"/>
  <c r="I101" i="63"/>
  <c r="L101" i="63" s="1"/>
  <c r="K100" i="63"/>
  <c r="N100" i="63" s="1"/>
  <c r="J129" i="33" s="1"/>
  <c r="J100" i="63"/>
  <c r="M100" i="63" s="1"/>
  <c r="I100" i="63"/>
  <c r="L100" i="63" s="1"/>
  <c r="E129" i="33" s="1"/>
  <c r="K99" i="63"/>
  <c r="N99" i="63" s="1"/>
  <c r="J99" i="63"/>
  <c r="M99" i="63" s="1"/>
  <c r="I99" i="63"/>
  <c r="L99" i="63" s="1"/>
  <c r="E128" i="33" s="1"/>
  <c r="K98" i="63"/>
  <c r="N98" i="63" s="1"/>
  <c r="J127" i="33" s="1"/>
  <c r="J98" i="63"/>
  <c r="M98" i="63" s="1"/>
  <c r="F127" i="33" s="1"/>
  <c r="I98" i="63"/>
  <c r="L98" i="63" s="1"/>
  <c r="E127" i="33" s="1"/>
  <c r="K97" i="63"/>
  <c r="N97" i="63" s="1"/>
  <c r="J126" i="33" s="1"/>
  <c r="J97" i="63"/>
  <c r="M97" i="63" s="1"/>
  <c r="F126" i="33" s="1"/>
  <c r="I97" i="63"/>
  <c r="L97" i="63" s="1"/>
  <c r="K96" i="63"/>
  <c r="N96" i="63" s="1"/>
  <c r="J96" i="63"/>
  <c r="M96" i="63" s="1"/>
  <c r="F123" i="33" s="1"/>
  <c r="I96" i="63"/>
  <c r="L96" i="63" s="1"/>
  <c r="K95" i="63"/>
  <c r="N95" i="63" s="1"/>
  <c r="J120" i="33" s="1"/>
  <c r="J95" i="63"/>
  <c r="M95" i="63" s="1"/>
  <c r="F120" i="33" s="1"/>
  <c r="I95" i="63"/>
  <c r="L95" i="63" s="1"/>
  <c r="E120" i="33" s="1"/>
  <c r="E121" i="33" s="1"/>
  <c r="K94" i="63"/>
  <c r="N94" i="63" s="1"/>
  <c r="J117" i="33" s="1"/>
  <c r="J94" i="63"/>
  <c r="M94" i="63" s="1"/>
  <c r="F117" i="33" s="1"/>
  <c r="I94" i="63"/>
  <c r="L94" i="63" s="1"/>
  <c r="K93" i="63"/>
  <c r="N93" i="63" s="1"/>
  <c r="J116" i="33" s="1"/>
  <c r="J93" i="63"/>
  <c r="M93" i="63" s="1"/>
  <c r="I93" i="63"/>
  <c r="L93" i="63" s="1"/>
  <c r="E116" i="33" s="1"/>
  <c r="K92" i="63"/>
  <c r="N92" i="63" s="1"/>
  <c r="J92" i="63"/>
  <c r="M92" i="63" s="1"/>
  <c r="I92" i="63"/>
  <c r="L92" i="63" s="1"/>
  <c r="E115" i="33" s="1"/>
  <c r="K91" i="63"/>
  <c r="N91" i="63" s="1"/>
  <c r="J114" i="33" s="1"/>
  <c r="J91" i="63"/>
  <c r="M91" i="63" s="1"/>
  <c r="F114" i="33" s="1"/>
  <c r="I91" i="63"/>
  <c r="L91" i="63" s="1"/>
  <c r="E114" i="33" s="1"/>
  <c r="K90" i="63"/>
  <c r="N90" i="63" s="1"/>
  <c r="J113" i="33" s="1"/>
  <c r="J90" i="63"/>
  <c r="M90" i="63" s="1"/>
  <c r="F113" i="33" s="1"/>
  <c r="I90" i="63"/>
  <c r="L90" i="63" s="1"/>
  <c r="K89" i="63"/>
  <c r="N89" i="63" s="1"/>
  <c r="J112" i="33" s="1"/>
  <c r="J89" i="63"/>
  <c r="M89" i="63" s="1"/>
  <c r="I89" i="63"/>
  <c r="L89" i="63" s="1"/>
  <c r="E112" i="33" s="1"/>
  <c r="K88" i="63"/>
  <c r="N88" i="63" s="1"/>
  <c r="J88" i="63"/>
  <c r="M88" i="63" s="1"/>
  <c r="I88" i="63"/>
  <c r="L88" i="63" s="1"/>
  <c r="E111" i="33" s="1"/>
  <c r="K87" i="63"/>
  <c r="N87" i="63" s="1"/>
  <c r="J110" i="33" s="1"/>
  <c r="J87" i="63"/>
  <c r="M87" i="63" s="1"/>
  <c r="F110" i="33" s="1"/>
  <c r="I87" i="63"/>
  <c r="L87" i="63" s="1"/>
  <c r="E110" i="33" s="1"/>
  <c r="K86" i="63"/>
  <c r="N86" i="63" s="1"/>
  <c r="J109" i="33" s="1"/>
  <c r="J86" i="63"/>
  <c r="M86" i="63" s="1"/>
  <c r="F109" i="33" s="1"/>
  <c r="I86" i="63"/>
  <c r="L86" i="63" s="1"/>
  <c r="K85" i="63"/>
  <c r="N85" i="63" s="1"/>
  <c r="J108" i="33" s="1"/>
  <c r="J85" i="63"/>
  <c r="M85" i="63" s="1"/>
  <c r="I85" i="63"/>
  <c r="L85" i="63" s="1"/>
  <c r="E108" i="33" s="1"/>
  <c r="K84" i="63"/>
  <c r="N84" i="63" s="1"/>
  <c r="J84" i="63"/>
  <c r="M84" i="63" s="1"/>
  <c r="I84" i="63"/>
  <c r="L84" i="63" s="1"/>
  <c r="E107" i="33" s="1"/>
  <c r="K83" i="63"/>
  <c r="N83" i="63" s="1"/>
  <c r="J106" i="33" s="1"/>
  <c r="J83" i="63"/>
  <c r="M83" i="63" s="1"/>
  <c r="F106" i="33" s="1"/>
  <c r="I83" i="63"/>
  <c r="L83" i="63" s="1"/>
  <c r="E106" i="33" s="1"/>
  <c r="K82" i="63"/>
  <c r="N82" i="63" s="1"/>
  <c r="J105" i="33" s="1"/>
  <c r="J82" i="63"/>
  <c r="M82" i="63" s="1"/>
  <c r="F105" i="33" s="1"/>
  <c r="I82" i="63"/>
  <c r="L82" i="63" s="1"/>
  <c r="K81" i="63"/>
  <c r="N81" i="63" s="1"/>
  <c r="J104" i="33" s="1"/>
  <c r="J81" i="63"/>
  <c r="M81" i="63" s="1"/>
  <c r="I81" i="63"/>
  <c r="L81" i="63" s="1"/>
  <c r="E104" i="33" s="1"/>
  <c r="K80" i="63"/>
  <c r="N80" i="63" s="1"/>
  <c r="J80" i="63"/>
  <c r="M80" i="63" s="1"/>
  <c r="I80" i="63"/>
  <c r="L80" i="63" s="1"/>
  <c r="E103" i="33" s="1"/>
  <c r="K79" i="63"/>
  <c r="N79" i="63" s="1"/>
  <c r="J102" i="33" s="1"/>
  <c r="J79" i="63"/>
  <c r="M79" i="63" s="1"/>
  <c r="F102" i="33" s="1"/>
  <c r="I79" i="63"/>
  <c r="L79" i="63" s="1"/>
  <c r="E102" i="33" s="1"/>
  <c r="K78" i="63"/>
  <c r="N78" i="63" s="1"/>
  <c r="J99" i="33" s="1"/>
  <c r="J78" i="63"/>
  <c r="M78" i="63" s="1"/>
  <c r="I78" i="63"/>
  <c r="L78" i="63" s="1"/>
  <c r="E99" i="33" s="1"/>
  <c r="E100" i="33" s="1"/>
  <c r="K77" i="63"/>
  <c r="N77" i="63" s="1"/>
  <c r="J77" i="63"/>
  <c r="M77" i="63" s="1"/>
  <c r="F98" i="33" s="1"/>
  <c r="I77" i="63"/>
  <c r="L77" i="63" s="1"/>
  <c r="K76" i="63"/>
  <c r="N76" i="6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73" i="63"/>
  <c r="M73" i="63" s="1"/>
  <c r="F94" i="33" s="1"/>
  <c r="I73" i="63"/>
  <c r="L73" i="63" s="1"/>
  <c r="K72" i="63"/>
  <c r="N72" i="6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69" i="63"/>
  <c r="M69" i="63" s="1"/>
  <c r="F90" i="33" s="1"/>
  <c r="I69" i="63"/>
  <c r="L69" i="63" s="1"/>
  <c r="K68" i="63"/>
  <c r="N68" i="6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65" i="63"/>
  <c r="M65" i="6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61" i="63"/>
  <c r="M61" i="6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L58" i="63"/>
  <c r="K58" i="63"/>
  <c r="N58" i="63" s="1"/>
  <c r="J79" i="33" s="1"/>
  <c r="J58" i="63"/>
  <c r="M58" i="63" s="1"/>
  <c r="I58" i="63"/>
  <c r="T57" i="63"/>
  <c r="L57" i="63"/>
  <c r="K57" i="63"/>
  <c r="N57" i="63" s="1"/>
  <c r="J57" i="63"/>
  <c r="M57" i="63" s="1"/>
  <c r="I57" i="63"/>
  <c r="T56" i="63"/>
  <c r="N56" i="63"/>
  <c r="M56" i="63"/>
  <c r="L56" i="63"/>
  <c r="K56" i="63"/>
  <c r="J56" i="63"/>
  <c r="I56" i="63"/>
  <c r="T55" i="63"/>
  <c r="N55" i="63"/>
  <c r="M55" i="63"/>
  <c r="L55" i="63"/>
  <c r="K55" i="63"/>
  <c r="J55" i="63"/>
  <c r="I55" i="63"/>
  <c r="N54" i="63"/>
  <c r="M54" i="63"/>
  <c r="K54" i="63"/>
  <c r="J54" i="63"/>
  <c r="I54" i="63"/>
  <c r="L54" i="63" s="1"/>
  <c r="E75" i="33" s="1"/>
  <c r="N53" i="63"/>
  <c r="M53" i="63"/>
  <c r="L53" i="63"/>
  <c r="K53" i="63"/>
  <c r="J53" i="63"/>
  <c r="I53" i="63"/>
  <c r="N52" i="63"/>
  <c r="M52" i="63"/>
  <c r="F73" i="33" s="1"/>
  <c r="K52" i="63"/>
  <c r="J52" i="63"/>
  <c r="I52" i="63"/>
  <c r="L52" i="63" s="1"/>
  <c r="E73" i="33" s="1"/>
  <c r="N51" i="63"/>
  <c r="M51" i="63"/>
  <c r="L51" i="63"/>
  <c r="K51" i="63"/>
  <c r="J51" i="63"/>
  <c r="I51" i="63"/>
  <c r="N50" i="63"/>
  <c r="M50" i="63"/>
  <c r="F69" i="33" s="1"/>
  <c r="K50" i="63"/>
  <c r="J50" i="63"/>
  <c r="I50" i="63"/>
  <c r="L50" i="63" s="1"/>
  <c r="E69" i="33" s="1"/>
  <c r="K69" i="33" s="1"/>
  <c r="N49" i="63"/>
  <c r="M49" i="63"/>
  <c r="L49" i="63"/>
  <c r="K49" i="63"/>
  <c r="J49" i="63"/>
  <c r="I49" i="63"/>
  <c r="N48" i="63"/>
  <c r="M48" i="63"/>
  <c r="K48" i="63"/>
  <c r="J48" i="63"/>
  <c r="I48" i="63"/>
  <c r="L48" i="63" s="1"/>
  <c r="E67" i="33" s="1"/>
  <c r="K67" i="33" s="1"/>
  <c r="N47" i="63"/>
  <c r="M47" i="63"/>
  <c r="L47" i="63"/>
  <c r="K47" i="63"/>
  <c r="J47" i="63"/>
  <c r="I47" i="63"/>
  <c r="T46" i="63"/>
  <c r="N46" i="63"/>
  <c r="K46" i="63"/>
  <c r="J46" i="63"/>
  <c r="M46" i="63" s="1"/>
  <c r="F65" i="33" s="1"/>
  <c r="I46" i="63"/>
  <c r="L46" i="63" s="1"/>
  <c r="N45" i="63"/>
  <c r="M45" i="63"/>
  <c r="K45" i="63"/>
  <c r="J45" i="63"/>
  <c r="I45" i="63"/>
  <c r="L45" i="63" s="1"/>
  <c r="E64" i="33" s="1"/>
  <c r="K64" i="33" s="1"/>
  <c r="N44" i="63"/>
  <c r="J63" i="33" s="1"/>
  <c r="K44" i="63"/>
  <c r="J44" i="63"/>
  <c r="M44" i="63" s="1"/>
  <c r="F63" i="33" s="1"/>
  <c r="I44" i="63"/>
  <c r="L44" i="63" s="1"/>
  <c r="N43" i="63"/>
  <c r="M43" i="63"/>
  <c r="K43" i="63"/>
  <c r="J43" i="63"/>
  <c r="I43" i="63"/>
  <c r="L43" i="63" s="1"/>
  <c r="N42" i="63"/>
  <c r="K42" i="63"/>
  <c r="J42" i="63"/>
  <c r="M42" i="63" s="1"/>
  <c r="I42" i="63"/>
  <c r="L42" i="63" s="1"/>
  <c r="E61" i="33" s="1"/>
  <c r="K61" i="33" s="1"/>
  <c r="N41" i="63"/>
  <c r="M41" i="63"/>
  <c r="K41" i="63"/>
  <c r="J41" i="63"/>
  <c r="I41" i="63"/>
  <c r="L41" i="63" s="1"/>
  <c r="N40" i="63"/>
  <c r="K40" i="63"/>
  <c r="J40" i="63"/>
  <c r="M40" i="63" s="1"/>
  <c r="F59" i="33" s="1"/>
  <c r="I40" i="63"/>
  <c r="L40" i="63" s="1"/>
  <c r="N39" i="63"/>
  <c r="M39" i="63"/>
  <c r="K39" i="63"/>
  <c r="J39" i="63"/>
  <c r="I39" i="63"/>
  <c r="L39" i="63" s="1"/>
  <c r="E58" i="33" s="1"/>
  <c r="K58" i="33" s="1"/>
  <c r="N38" i="63"/>
  <c r="J57" i="33" s="1"/>
  <c r="K38" i="63"/>
  <c r="J38" i="63"/>
  <c r="M38" i="63" s="1"/>
  <c r="F57" i="33" s="1"/>
  <c r="I38" i="63"/>
  <c r="L38" i="63" s="1"/>
  <c r="N37" i="63"/>
  <c r="M37" i="63"/>
  <c r="K37" i="63"/>
  <c r="J37" i="63"/>
  <c r="I37" i="63"/>
  <c r="L37" i="63" s="1"/>
  <c r="N36" i="63"/>
  <c r="K36" i="63"/>
  <c r="J36" i="63"/>
  <c r="M36" i="63" s="1"/>
  <c r="I36" i="63"/>
  <c r="L36" i="63" s="1"/>
  <c r="E55" i="33" s="1"/>
  <c r="K55" i="33" s="1"/>
  <c r="T35" i="63"/>
  <c r="N35" i="63"/>
  <c r="K35" i="63"/>
  <c r="J35" i="63"/>
  <c r="M35" i="63" s="1"/>
  <c r="F54" i="33" s="1"/>
  <c r="I35" i="63"/>
  <c r="L35" i="63" s="1"/>
  <c r="L34" i="63"/>
  <c r="K34" i="63"/>
  <c r="N34" i="63" s="1"/>
  <c r="J34" i="63"/>
  <c r="M34" i="63" s="1"/>
  <c r="F53" i="33" s="1"/>
  <c r="I34" i="63"/>
  <c r="T33" i="63"/>
  <c r="L33" i="63"/>
  <c r="K33" i="63"/>
  <c r="N33" i="63" s="1"/>
  <c r="J33" i="63"/>
  <c r="M33" i="63" s="1"/>
  <c r="I33" i="63"/>
  <c r="T32" i="63"/>
  <c r="N32" i="63"/>
  <c r="L32" i="63"/>
  <c r="K32" i="63"/>
  <c r="J32" i="63"/>
  <c r="M32" i="63" s="1"/>
  <c r="F51" i="33" s="1"/>
  <c r="I32" i="63"/>
  <c r="M31" i="63"/>
  <c r="L31" i="63"/>
  <c r="K31" i="63"/>
  <c r="N31" i="63" s="1"/>
  <c r="J31" i="63"/>
  <c r="I31" i="63"/>
  <c r="N30" i="63"/>
  <c r="L30" i="63"/>
  <c r="K30" i="63"/>
  <c r="J30" i="63"/>
  <c r="M30" i="63" s="1"/>
  <c r="I30" i="63"/>
  <c r="T29" i="63"/>
  <c r="N29" i="63"/>
  <c r="M29" i="63"/>
  <c r="L29" i="63"/>
  <c r="K29" i="63"/>
  <c r="J29" i="63"/>
  <c r="I29" i="63"/>
  <c r="M28" i="63"/>
  <c r="L28" i="63"/>
  <c r="K28" i="63"/>
  <c r="N28" i="63" s="1"/>
  <c r="J47" i="33" s="1"/>
  <c r="J28" i="63"/>
  <c r="I28" i="63"/>
  <c r="N27" i="63"/>
  <c r="M27" i="63"/>
  <c r="L27" i="63"/>
  <c r="K27" i="63"/>
  <c r="J27" i="63"/>
  <c r="I27" i="63"/>
  <c r="T26" i="63"/>
  <c r="N26" i="63"/>
  <c r="M26" i="63"/>
  <c r="L26" i="63"/>
  <c r="K26" i="63"/>
  <c r="J26" i="63"/>
  <c r="I26" i="63"/>
  <c r="N25" i="63"/>
  <c r="M25" i="63"/>
  <c r="K25" i="63"/>
  <c r="J25" i="63"/>
  <c r="I25" i="63"/>
  <c r="L25" i="63" s="1"/>
  <c r="N24" i="63"/>
  <c r="M24" i="63"/>
  <c r="L24" i="63"/>
  <c r="K24" i="63"/>
  <c r="J24" i="63"/>
  <c r="I24" i="63"/>
  <c r="N23" i="63"/>
  <c r="M23" i="63"/>
  <c r="K23" i="63"/>
  <c r="J23" i="63"/>
  <c r="I23" i="63"/>
  <c r="L23" i="63" s="1"/>
  <c r="N22" i="63"/>
  <c r="M22" i="63"/>
  <c r="L22" i="63"/>
  <c r="K22" i="63"/>
  <c r="J22" i="63"/>
  <c r="I22" i="63"/>
  <c r="N21" i="63"/>
  <c r="M21" i="63"/>
  <c r="K21" i="63"/>
  <c r="J21" i="63"/>
  <c r="I21" i="63"/>
  <c r="L21" i="63" s="1"/>
  <c r="N20" i="63"/>
  <c r="M20" i="63"/>
  <c r="L20" i="63"/>
  <c r="K20" i="63"/>
  <c r="J20" i="63"/>
  <c r="I20" i="63"/>
  <c r="N19" i="63"/>
  <c r="M19" i="63"/>
  <c r="K19" i="63"/>
  <c r="J19" i="63"/>
  <c r="I19" i="63"/>
  <c r="L19" i="63" s="1"/>
  <c r="N18" i="63"/>
  <c r="M18" i="63"/>
  <c r="L18" i="63"/>
  <c r="K18" i="63"/>
  <c r="J18" i="63"/>
  <c r="I18" i="63"/>
  <c r="N14" i="63"/>
  <c r="M13" i="63"/>
  <c r="M12" i="63"/>
  <c r="M11" i="63"/>
  <c r="N3" i="63"/>
  <c r="C34" i="62"/>
  <c r="C8" i="62"/>
  <c r="C7" i="62"/>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G13" i="61"/>
  <c r="E13" i="61"/>
  <c r="F13" i="56"/>
  <c r="E7" i="56"/>
  <c r="F2" i="56"/>
  <c r="R10" i="55"/>
  <c r="P10" i="55" a="1"/>
  <c r="P10" i="55" s="1"/>
  <c r="M10" i="55"/>
  <c r="L10" i="55"/>
  <c r="F10" i="55"/>
  <c r="K8" i="55"/>
  <c r="R2" i="55"/>
  <c r="P2" i="55" a="1"/>
  <c r="P2" i="55" s="1"/>
  <c r="M2" i="55"/>
  <c r="P10" i="54" a="1"/>
  <c r="P10" i="54"/>
  <c r="M10" i="54"/>
  <c r="L10" i="54"/>
  <c r="R10" i="54" s="1"/>
  <c r="K8" i="54"/>
  <c r="J8" i="54"/>
  <c r="G8" i="54"/>
  <c r="F8" i="54"/>
  <c r="R2" i="54"/>
  <c r="P2" i="54" a="1"/>
  <c r="P2" i="54" s="1"/>
  <c r="M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J52" i="51"/>
  <c r="J45" i="51" s="1"/>
  <c r="I52" i="51"/>
  <c r="I45" i="51" s="1"/>
  <c r="H52" i="51"/>
  <c r="G52" i="51"/>
  <c r="I51" i="51"/>
  <c r="H51" i="51"/>
  <c r="G51" i="51"/>
  <c r="I50" i="51"/>
  <c r="G50" i="51"/>
  <c r="J49" i="51"/>
  <c r="I49" i="51"/>
  <c r="I48" i="51"/>
  <c r="J47" i="51"/>
  <c r="I47" i="51"/>
  <c r="J46" i="51"/>
  <c r="I46" i="51"/>
  <c r="K45" i="51"/>
  <c r="G44" i="51"/>
  <c r="H53" i="51" s="1"/>
  <c r="G36" i="51"/>
  <c r="F36" i="51"/>
  <c r="U14" i="63" s="1"/>
  <c r="M14" i="63" s="1"/>
  <c r="E18" i="45" s="1"/>
  <c r="F32" i="51"/>
  <c r="E32" i="51"/>
  <c r="F29" i="51"/>
  <c r="E29" i="51"/>
  <c r="L5" i="51"/>
  <c r="L4" i="51"/>
  <c r="L3" i="51"/>
  <c r="L6" i="51" s="1"/>
  <c r="I14" i="50"/>
  <c r="G14" i="50"/>
  <c r="G11" i="50"/>
  <c r="G10" i="50"/>
  <c r="G9" i="50"/>
  <c r="D6" i="50"/>
  <c r="E13" i="49"/>
  <c r="H12" i="49"/>
  <c r="E12" i="49"/>
  <c r="E10" i="49"/>
  <c r="D6" i="49"/>
  <c r="G312" i="48"/>
  <c r="F306" i="48"/>
  <c r="M270" i="48"/>
  <c r="F269" i="48"/>
  <c r="F254" i="48"/>
  <c r="G236" i="48"/>
  <c r="F208" i="48"/>
  <c r="G184" i="48"/>
  <c r="G172" i="48"/>
  <c r="M148" i="48"/>
  <c r="F147" i="48"/>
  <c r="G120" i="48"/>
  <c r="F114" i="48"/>
  <c r="F84" i="48"/>
  <c r="F60" i="48"/>
  <c r="G42" i="48"/>
  <c r="M24" i="48"/>
  <c r="F23" i="48"/>
  <c r="G17" i="48"/>
  <c r="F17" i="48"/>
  <c r="G16" i="48"/>
  <c r="F16" i="48"/>
  <c r="E14" i="48"/>
  <c r="N7" i="48"/>
  <c r="N4" i="48"/>
  <c r="N1" i="48"/>
  <c r="E42" i="47"/>
  <c r="E32"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4" i="43" s="1"/>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E130" i="33"/>
  <c r="F129" i="33"/>
  <c r="J128" i="33"/>
  <c r="F128" i="33"/>
  <c r="E126" i="33"/>
  <c r="J123" i="33"/>
  <c r="E123" i="33"/>
  <c r="E124" i="33" s="1"/>
  <c r="E117" i="33"/>
  <c r="E118" i="33" s="1"/>
  <c r="F116" i="33"/>
  <c r="J115" i="33"/>
  <c r="F115" i="33"/>
  <c r="E113" i="33"/>
  <c r="F112" i="33"/>
  <c r="J111" i="33"/>
  <c r="F111" i="33"/>
  <c r="E109" i="33"/>
  <c r="F108" i="33"/>
  <c r="J107" i="33"/>
  <c r="F107" i="33"/>
  <c r="E105" i="33"/>
  <c r="F104" i="33"/>
  <c r="J103" i="33"/>
  <c r="F103" i="33"/>
  <c r="F99" i="33"/>
  <c r="J98" i="33"/>
  <c r="E98" i="33"/>
  <c r="J97" i="33"/>
  <c r="J94" i="33"/>
  <c r="E94" i="33"/>
  <c r="J93" i="33"/>
  <c r="J90" i="33"/>
  <c r="E90" i="33"/>
  <c r="J89" i="33"/>
  <c r="I87" i="33"/>
  <c r="H87" i="33"/>
  <c r="J86" i="33"/>
  <c r="F86" i="33"/>
  <c r="J82" i="33"/>
  <c r="F82" i="33"/>
  <c r="F79" i="33"/>
  <c r="E79" i="33"/>
  <c r="J78" i="33"/>
  <c r="F78" i="33"/>
  <c r="E78" i="33"/>
  <c r="J77" i="33"/>
  <c r="F77" i="33"/>
  <c r="E77" i="33"/>
  <c r="J76" i="33"/>
  <c r="F76" i="33"/>
  <c r="E76" i="33"/>
  <c r="J75" i="33"/>
  <c r="F75" i="33"/>
  <c r="J74" i="33"/>
  <c r="F74" i="33"/>
  <c r="E74" i="33"/>
  <c r="J73" i="33"/>
  <c r="J72" i="33"/>
  <c r="F72" i="33"/>
  <c r="E72" i="33"/>
  <c r="E70" i="33"/>
  <c r="K70" i="33" s="1"/>
  <c r="J69" i="33"/>
  <c r="I69" i="33"/>
  <c r="H69" i="33"/>
  <c r="K68" i="33"/>
  <c r="J68" i="33"/>
  <c r="L68" i="33" s="1"/>
  <c r="F68" i="33"/>
  <c r="E68" i="33"/>
  <c r="J67" i="33"/>
  <c r="F67" i="33"/>
  <c r="L66" i="33"/>
  <c r="J66" i="33"/>
  <c r="F66" i="33"/>
  <c r="E66" i="33"/>
  <c r="K66" i="33" s="1"/>
  <c r="J65" i="33"/>
  <c r="E65" i="33"/>
  <c r="K65" i="33" s="1"/>
  <c r="J64" i="33"/>
  <c r="F64" i="33"/>
  <c r="E63" i="33"/>
  <c r="K63" i="33" s="1"/>
  <c r="J62" i="33"/>
  <c r="F62" i="33"/>
  <c r="E62" i="33"/>
  <c r="K62" i="33" s="1"/>
  <c r="J61" i="33"/>
  <c r="F61" i="33"/>
  <c r="J60" i="33"/>
  <c r="F60" i="33"/>
  <c r="E60" i="33"/>
  <c r="K60" i="33" s="1"/>
  <c r="J59" i="33"/>
  <c r="E59" i="33"/>
  <c r="K59" i="33" s="1"/>
  <c r="J58" i="33"/>
  <c r="F58" i="33"/>
  <c r="E57" i="33"/>
  <c r="K57" i="33" s="1"/>
  <c r="J56" i="33"/>
  <c r="F56" i="33"/>
  <c r="E56" i="33"/>
  <c r="K56" i="33" s="1"/>
  <c r="J55" i="33"/>
  <c r="F55" i="33"/>
  <c r="J54" i="33"/>
  <c r="E54" i="33"/>
  <c r="K54" i="33" s="1"/>
  <c r="J53" i="33"/>
  <c r="E53" i="33"/>
  <c r="K53" i="33" s="1"/>
  <c r="J52" i="33"/>
  <c r="F52" i="33"/>
  <c r="E52" i="33"/>
  <c r="K52" i="33" s="1"/>
  <c r="J51" i="33"/>
  <c r="E51" i="33"/>
  <c r="K51" i="33" s="1"/>
  <c r="J50" i="33"/>
  <c r="F50" i="33"/>
  <c r="E50" i="33"/>
  <c r="K50" i="33" s="1"/>
  <c r="J49" i="33"/>
  <c r="F49" i="33"/>
  <c r="E49" i="33"/>
  <c r="K49" i="33" s="1"/>
  <c r="J48" i="33"/>
  <c r="F48" i="33"/>
  <c r="E48" i="33"/>
  <c r="K48" i="33" s="1"/>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S7" i="31"/>
  <c r="K7" i="31"/>
  <c r="AV6" i="31"/>
  <c r="AV5" i="31"/>
  <c r="S5" i="31"/>
  <c r="I5" i="31"/>
  <c r="J6" i="31" s="1"/>
  <c r="S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K7" i="30" s="1"/>
  <c r="S7" i="30" s="1"/>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U53" i="28"/>
  <c r="AU52" i="28"/>
  <c r="AU51" i="28"/>
  <c r="AU50" i="28"/>
  <c r="AU49" i="28"/>
  <c r="AU48" i="28"/>
  <c r="AU47" i="28"/>
  <c r="AL47" i="28"/>
  <c r="AE47" i="28"/>
  <c r="X47" i="28"/>
  <c r="AU46" i="28"/>
  <c r="AS46" i="28"/>
  <c r="AR46" i="28"/>
  <c r="AU45" i="28"/>
  <c r="AU44" i="28"/>
  <c r="AU43" i="28"/>
  <c r="AU42" i="28"/>
  <c r="AU41" i="28"/>
  <c r="AR41" i="28"/>
  <c r="U40" i="28"/>
  <c r="V40" i="28" s="1"/>
  <c r="W40" i="28" s="1"/>
  <c r="X40" i="28" s="1"/>
  <c r="Y40" i="28" s="1"/>
  <c r="Z40" i="28" s="1"/>
  <c r="AB40" i="28" s="1"/>
  <c r="AC40" i="28" s="1"/>
  <c r="AD40" i="28" s="1"/>
  <c r="AE40" i="28" s="1"/>
  <c r="AF40" i="28" s="1"/>
  <c r="AG40" i="28" s="1"/>
  <c r="AI40" i="28" s="1"/>
  <c r="AJ40" i="28" s="1"/>
  <c r="AK40" i="28" s="1"/>
  <c r="AL40" i="28" s="1"/>
  <c r="AM40" i="28" s="1"/>
  <c r="AN40" i="28" s="1"/>
  <c r="AP40" i="28" s="1"/>
  <c r="AQ40" i="28" s="1"/>
  <c r="AR40" i="28" s="1"/>
  <c r="AJ33" i="28"/>
  <c r="AC33" i="28"/>
  <c r="V33" i="28"/>
  <c r="AJ32" i="28"/>
  <c r="AC32" i="28"/>
  <c r="V32" i="28"/>
  <c r="AJ30" i="28"/>
  <c r="AC30" i="28"/>
  <c r="V30" i="28"/>
  <c r="AJ29" i="28"/>
  <c r="AC29" i="28"/>
  <c r="V29" i="28"/>
  <c r="AJ28" i="28"/>
  <c r="AC28" i="28"/>
  <c r="V28" i="28"/>
  <c r="AJ27" i="28"/>
  <c r="AC27" i="28"/>
  <c r="V27" i="28"/>
  <c r="S25" i="28"/>
  <c r="S24" i="28"/>
  <c r="AE16" i="28"/>
  <c r="AU13" i="28"/>
  <c r="AU12" i="28"/>
  <c r="AU11" i="28"/>
  <c r="AU10" i="28"/>
  <c r="AU9" i="28"/>
  <c r="AU8" i="28"/>
  <c r="AL8" i="28"/>
  <c r="AE8" i="28"/>
  <c r="X8" i="28"/>
  <c r="AU7" i="28"/>
  <c r="AS7" i="28"/>
  <c r="AR7" i="28"/>
  <c r="AU6" i="28"/>
  <c r="AU5" i="28"/>
  <c r="I5" i="28"/>
  <c r="J6" i="28" s="1"/>
  <c r="AU4" i="28"/>
  <c r="AC4" i="28"/>
  <c r="S4" i="28"/>
  <c r="AU3" i="28"/>
  <c r="AC3" i="28"/>
  <c r="S3" i="28"/>
  <c r="AU2" i="28"/>
  <c r="AR2" i="28"/>
  <c r="AC2" i="28"/>
  <c r="S2" i="28"/>
  <c r="AN53" i="27"/>
  <c r="AN52" i="27"/>
  <c r="AN51" i="27"/>
  <c r="AN50" i="27"/>
  <c r="AN49" i="27"/>
  <c r="AN48" i="27"/>
  <c r="AN47" i="27"/>
  <c r="AE47" i="27"/>
  <c r="X47" i="27"/>
  <c r="AN46" i="27"/>
  <c r="AL46" i="27"/>
  <c r="AK46" i="27"/>
  <c r="AN45" i="27"/>
  <c r="AN44" i="27"/>
  <c r="AN43" i="27"/>
  <c r="AN42" i="27"/>
  <c r="S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W41" i="25"/>
  <c r="X41" i="25" s="1"/>
  <c r="Y41" i="25" s="1"/>
  <c r="AA41" i="25" s="1"/>
  <c r="U41" i="25"/>
  <c r="V41" i="25" s="1"/>
  <c r="V39" i="25"/>
  <c r="V33" i="25"/>
  <c r="V32" i="25"/>
  <c r="V30" i="25"/>
  <c r="V29" i="25"/>
  <c r="V28" i="25"/>
  <c r="V27" i="25"/>
  <c r="S25" i="25"/>
  <c r="S24" i="25"/>
  <c r="AN14" i="25"/>
  <c r="AN13" i="25"/>
  <c r="AN12" i="25"/>
  <c r="AN11" i="25"/>
  <c r="AN10" i="25"/>
  <c r="AN9" i="25"/>
  <c r="AN8" i="25"/>
  <c r="AL8" i="25"/>
  <c r="K8" i="25"/>
  <c r="S8" i="25" s="1"/>
  <c r="AN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K7" i="22" s="1"/>
  <c r="S7" i="22" s="1"/>
  <c r="AN5" i="22"/>
  <c r="S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X40" i="21"/>
  <c r="Y40" i="21" s="1"/>
  <c r="Z40" i="21" s="1"/>
  <c r="AB40" i="21" s="1"/>
  <c r="AC40" i="21" s="1"/>
  <c r="AD40" i="21" s="1"/>
  <c r="AE40" i="21" s="1"/>
  <c r="AF40" i="21" s="1"/>
  <c r="AG40" i="21" s="1"/>
  <c r="AI40" i="21" s="1"/>
  <c r="AJ40" i="21" s="1"/>
  <c r="AK40" i="21" s="1"/>
  <c r="W40" i="2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O44" i="20"/>
  <c r="AP44" i="20" s="1"/>
  <c r="AQ44" i="20" s="1"/>
  <c r="AS44" i="20" s="1"/>
  <c r="AT44" i="20" s="1"/>
  <c r="AU44" i="20" s="1"/>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AP44" i="18"/>
  <c r="AP43" i="18"/>
  <c r="AM43" i="18"/>
  <c r="S43" i="18"/>
  <c r="AH42" i="18"/>
  <c r="AI42" i="18" s="1"/>
  <c r="AK42" i="18" s="1"/>
  <c r="AL42" i="18" s="1"/>
  <c r="AM42" i="18" s="1"/>
  <c r="AG42" i="18"/>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D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8" i="17"/>
  <c r="K8" i="17"/>
  <c r="AP7" i="17"/>
  <c r="S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I42" i="16"/>
  <c r="AK42" i="16" s="1"/>
  <c r="AL42" i="16" s="1"/>
  <c r="AM42" i="16" s="1"/>
  <c r="AH42" i="16"/>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S44" i="14"/>
  <c r="AP43" i="14"/>
  <c r="AM43" i="14"/>
  <c r="AF42" i="14"/>
  <c r="AG42" i="14" s="1"/>
  <c r="AH42" i="14" s="1"/>
  <c r="AI42" i="14" s="1"/>
  <c r="AK42" i="14" s="1"/>
  <c r="AL42" i="14" s="1"/>
  <c r="AM42" i="14" s="1"/>
  <c r="Z42" i="14"/>
  <c r="AA42" i="14" s="1"/>
  <c r="AC42" i="14" s="1"/>
  <c r="AD42" i="14" s="1"/>
  <c r="X42" i="14"/>
  <c r="Y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AP43" i="12"/>
  <c r="AM43" i="12"/>
  <c r="AH42" i="12"/>
  <c r="AI42" i="12" s="1"/>
  <c r="AK42" i="12" s="1"/>
  <c r="AL42" i="12" s="1"/>
  <c r="AM42" i="12" s="1"/>
  <c r="AG42" i="12"/>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D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D36" i="7"/>
  <c r="G35" i="7"/>
  <c r="E35" i="7"/>
  <c r="D35" i="7"/>
  <c r="G34" i="7"/>
  <c r="E34" i="7"/>
  <c r="E33" i="7"/>
  <c r="D33" i="7"/>
  <c r="D37" i="7" s="1"/>
  <c r="D38" i="7" s="1"/>
  <c r="D39" i="7" s="1"/>
  <c r="A33" i="7"/>
  <c r="G29" i="7"/>
  <c r="G28" i="7"/>
  <c r="G27" i="7"/>
  <c r="D19" i="7"/>
  <c r="D23" i="7" s="1"/>
  <c r="E18" i="7"/>
  <c r="G17" i="7"/>
  <c r="E17" i="7"/>
  <c r="G16" i="7"/>
  <c r="E16" i="7"/>
  <c r="F15" i="7"/>
  <c r="F14" i="7"/>
  <c r="G13" i="7"/>
  <c r="E13" i="7"/>
  <c r="E12" i="7"/>
  <c r="F11" i="7"/>
  <c r="D5" i="7"/>
  <c r="D5" i="6"/>
  <c r="AQ131" i="5"/>
  <c r="AP131" i="5"/>
  <c r="S48" i="29" s="1"/>
  <c r="K52" i="29" s="1"/>
  <c r="S52" i="29" s="1"/>
  <c r="AO131" i="5"/>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F324" i="48" s="1"/>
  <c r="G126" i="5"/>
  <c r="AQ121" i="5"/>
  <c r="AP121" i="5"/>
  <c r="S43" i="27" s="1"/>
  <c r="I44" i="27" s="1"/>
  <c r="AO121" i="5"/>
  <c r="AN121" i="5"/>
  <c r="S41" i="27" s="1"/>
  <c r="AM121" i="5"/>
  <c r="AL121" i="5"/>
  <c r="AC43" i="27" s="1"/>
  <c r="AK121" i="5"/>
  <c r="AC42" i="27" s="1"/>
  <c r="AJ121" i="5"/>
  <c r="G260"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G132" i="48" s="1"/>
  <c r="AI110" i="5"/>
  <c r="AH110" i="5"/>
  <c r="F132" i="48" s="1"/>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G60" i="48" s="1"/>
  <c r="AI94" i="5"/>
  <c r="AH94" i="5"/>
  <c r="AQ89" i="5"/>
  <c r="AP89" i="5"/>
  <c r="S43" i="23" s="1"/>
  <c r="I44" i="23" s="1"/>
  <c r="AO89" i="5"/>
  <c r="S42" i="23" s="1"/>
  <c r="AN89" i="5"/>
  <c r="S41" i="23" s="1"/>
  <c r="AM89" i="5"/>
  <c r="AL89" i="5"/>
  <c r="AC43" i="23" s="1"/>
  <c r="AK89" i="5"/>
  <c r="AC42" i="23" s="1"/>
  <c r="AJ89" i="5"/>
  <c r="G242" i="48"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G114" i="48" s="1"/>
  <c r="AI79" i="5"/>
  <c r="AH79" i="5"/>
  <c r="F236" i="48" s="1"/>
  <c r="AQ63" i="5"/>
  <c r="S46" i="14" s="1"/>
  <c r="I47" i="14" s="1"/>
  <c r="AP63" i="5"/>
  <c r="S45" i="13" s="1"/>
  <c r="AO63" i="5"/>
  <c r="S44" i="13"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K58" i="5"/>
  <c r="AC43" i="25" s="1"/>
  <c r="AJ58" i="5"/>
  <c r="G294" i="48" s="1"/>
  <c r="AI58" i="5"/>
  <c r="AH58" i="5"/>
  <c r="AQ53" i="5"/>
  <c r="S48" i="20" s="1"/>
  <c r="AP53" i="5"/>
  <c r="S47" i="20" s="1"/>
  <c r="AO53" i="5"/>
  <c r="S46" i="20" s="1"/>
  <c r="AN53" i="5"/>
  <c r="S45" i="20" s="1"/>
  <c r="AM53" i="5"/>
  <c r="AL53" i="5"/>
  <c r="AB47" i="20" s="1"/>
  <c r="AK53" i="5"/>
  <c r="AB46" i="20" s="1"/>
  <c r="AJ53" i="5"/>
  <c r="AB45" i="20" s="1"/>
  <c r="AI53" i="5"/>
  <c r="AH53" i="5"/>
  <c r="AQ48" i="5"/>
  <c r="S46" i="15" s="1"/>
  <c r="I47" i="15" s="1"/>
  <c r="AP48" i="5"/>
  <c r="S45" i="15" s="1"/>
  <c r="AO48" i="5"/>
  <c r="S44" i="15" s="1"/>
  <c r="AN48" i="5"/>
  <c r="S43" i="15" s="1"/>
  <c r="AM48" i="5"/>
  <c r="AD46" i="15" s="1"/>
  <c r="AL48" i="5"/>
  <c r="AK48" i="5"/>
  <c r="AD44" i="15" s="1"/>
  <c r="AJ48" i="5"/>
  <c r="G166" i="48" s="1"/>
  <c r="AI48" i="5"/>
  <c r="AH48" i="5"/>
  <c r="F288" i="48" s="1"/>
  <c r="AQ43" i="5"/>
  <c r="S46" i="18" s="1"/>
  <c r="AP43" i="5"/>
  <c r="S45" i="18" s="1"/>
  <c r="AO43" i="5"/>
  <c r="S44" i="18" s="1"/>
  <c r="AN43" i="5"/>
  <c r="AM43" i="5"/>
  <c r="AL43" i="5"/>
  <c r="AD45" i="18" s="1"/>
  <c r="AK43" i="5"/>
  <c r="AD44" i="18" s="1"/>
  <c r="AJ43" i="5"/>
  <c r="G102" i="48" s="1"/>
  <c r="AI43" i="5"/>
  <c r="AH43" i="5"/>
  <c r="AQ38" i="5"/>
  <c r="S46" i="17" s="1"/>
  <c r="AP38" i="5"/>
  <c r="AO38" i="5"/>
  <c r="S44" i="17" s="1"/>
  <c r="AN38" i="5"/>
  <c r="S43" i="17" s="1"/>
  <c r="AM38" i="5"/>
  <c r="AD46" i="17" s="1"/>
  <c r="AL38" i="5"/>
  <c r="AD45" i="17" s="1"/>
  <c r="AK38" i="5"/>
  <c r="AJ38" i="5"/>
  <c r="AD43" i="17" s="1"/>
  <c r="AI38" i="5"/>
  <c r="AH38" i="5"/>
  <c r="AQ33" i="5"/>
  <c r="U52" i="19" s="1"/>
  <c r="I53" i="19" s="1"/>
  <c r="J54" i="19" s="1"/>
  <c r="AP33" i="5"/>
  <c r="U51" i="19" s="1"/>
  <c r="AO33" i="5"/>
  <c r="AN33" i="5"/>
  <c r="U49" i="19" s="1"/>
  <c r="AM33" i="5"/>
  <c r="AG52" i="19" s="1"/>
  <c r="AL33" i="5"/>
  <c r="AG51" i="19" s="1"/>
  <c r="AK33" i="5"/>
  <c r="AG50" i="19" s="1"/>
  <c r="AJ33" i="5"/>
  <c r="AI33" i="5"/>
  <c r="AH33" i="5"/>
  <c r="F218" i="48" s="1"/>
  <c r="AQ28" i="5"/>
  <c r="L22" i="64" s="1"/>
  <c r="F23" i="64" s="1"/>
  <c r="AP28" i="5"/>
  <c r="L21" i="64" s="1"/>
  <c r="AO28" i="5"/>
  <c r="L20" i="64" s="1"/>
  <c r="AN28" i="5"/>
  <c r="L19" i="64" s="1"/>
  <c r="AM28" i="5"/>
  <c r="O22" i="64" s="1"/>
  <c r="AL28" i="5"/>
  <c r="O21" i="64" s="1"/>
  <c r="AK28" i="5"/>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J13" i="5"/>
  <c r="G270" i="48" s="1"/>
  <c r="AI13" i="5"/>
  <c r="AH13" i="5"/>
  <c r="D6" i="5"/>
  <c r="D5" i="5"/>
  <c r="R13" i="4"/>
  <c r="I11" i="50" s="1"/>
  <c r="Q13" i="4"/>
  <c r="I11" i="37" s="1"/>
  <c r="P13" i="4"/>
  <c r="I13" i="4"/>
  <c r="E7" i="4"/>
  <c r="D5" i="4"/>
  <c r="D4" i="4"/>
  <c r="O13" i="3"/>
  <c r="M13" i="3" a="1"/>
  <c r="M13" i="3" s="1"/>
  <c r="J13" i="3"/>
  <c r="E13" i="3"/>
  <c r="G12" i="3"/>
  <c r="E12" i="3"/>
  <c r="E4" i="3"/>
  <c r="E59" i="2"/>
  <c r="E49" i="2"/>
  <c r="E41" i="2"/>
  <c r="E31" i="2"/>
  <c r="E27" i="2"/>
  <c r="E26" i="2"/>
  <c r="F25" i="2"/>
  <c r="E22" i="2"/>
  <c r="E21" i="2"/>
  <c r="F20" i="2"/>
  <c r="E19" i="2"/>
  <c r="I9" i="2"/>
  <c r="E5" i="2"/>
  <c r="E3" i="2"/>
  <c r="E2" i="2"/>
  <c r="B5" i="1"/>
  <c r="S47" i="11" l="1"/>
  <c r="J48" i="11"/>
  <c r="I47" i="18"/>
  <c r="J48" i="18"/>
  <c r="K8" i="18"/>
  <c r="S8" i="18" s="1"/>
  <c r="S7" i="18"/>
  <c r="J45" i="21"/>
  <c r="S44" i="21"/>
  <c r="J46" i="31"/>
  <c r="S45" i="31"/>
  <c r="K8" i="12"/>
  <c r="S8" i="12" s="1"/>
  <c r="S7" i="12"/>
  <c r="J7" i="15"/>
  <c r="S6" i="15"/>
  <c r="J48" i="17"/>
  <c r="I47" i="17"/>
  <c r="D43" i="7"/>
  <c r="D44" i="7" s="1"/>
  <c r="D45" i="7" s="1"/>
  <c r="D41" i="7"/>
  <c r="D40" i="7"/>
  <c r="S5" i="21"/>
  <c r="J6" i="21"/>
  <c r="J7" i="11"/>
  <c r="S6" i="11"/>
  <c r="J47" i="25"/>
  <c r="I46" i="25"/>
  <c r="K48" i="25"/>
  <c r="S48" i="25" s="1"/>
  <c r="K8" i="19"/>
  <c r="U7" i="19"/>
  <c r="K55" i="19"/>
  <c r="U54" i="19"/>
  <c r="S44" i="24"/>
  <c r="J45" i="24"/>
  <c r="K8" i="13"/>
  <c r="S8" i="13" s="1"/>
  <c r="S7" i="13"/>
  <c r="K7" i="23"/>
  <c r="S7" i="23" s="1"/>
  <c r="S6" i="23"/>
  <c r="K51" i="20"/>
  <c r="S51" i="20" s="1"/>
  <c r="J50" i="20"/>
  <c r="I49" i="20"/>
  <c r="J45" i="28"/>
  <c r="S44" i="28"/>
  <c r="K8" i="16"/>
  <c r="S8" i="16" s="1"/>
  <c r="S7" i="16"/>
  <c r="K7" i="24"/>
  <c r="S7" i="24" s="1"/>
  <c r="S6" i="24"/>
  <c r="S47" i="14"/>
  <c r="J48" i="14"/>
  <c r="S44" i="23"/>
  <c r="J45" i="23"/>
  <c r="S44" i="27"/>
  <c r="J45" i="27"/>
  <c r="S6" i="28"/>
  <c r="K7" i="28"/>
  <c r="S7" i="28" s="1"/>
  <c r="J46" i="30"/>
  <c r="S45" i="30"/>
  <c r="J48" i="12"/>
  <c r="S47" i="12"/>
  <c r="S47" i="15"/>
  <c r="J48" i="15"/>
  <c r="J45" i="22"/>
  <c r="S44" i="22"/>
  <c r="I7" i="39"/>
  <c r="I10" i="38"/>
  <c r="I10" i="37"/>
  <c r="H9" i="45"/>
  <c r="I26" i="40"/>
  <c r="I25" i="33"/>
  <c r="F273" i="48"/>
  <c r="F151" i="48"/>
  <c r="F27" i="48"/>
  <c r="F212" i="48"/>
  <c r="F90" i="48"/>
  <c r="F215" i="48"/>
  <c r="F93" i="48"/>
  <c r="F276" i="48"/>
  <c r="F154" i="48"/>
  <c r="F30" i="48"/>
  <c r="G279" i="48"/>
  <c r="G157" i="48"/>
  <c r="G33" i="48"/>
  <c r="F233" i="48"/>
  <c r="F111" i="48"/>
  <c r="F294" i="48"/>
  <c r="F172" i="48"/>
  <c r="F48" i="48"/>
  <c r="F309" i="48"/>
  <c r="F187" i="48"/>
  <c r="F63" i="48"/>
  <c r="F248" i="48"/>
  <c r="F126" i="48"/>
  <c r="G251" i="48"/>
  <c r="G129" i="48"/>
  <c r="AG42" i="30"/>
  <c r="D34" i="7"/>
  <c r="AD45" i="13"/>
  <c r="AD43" i="14"/>
  <c r="AD46" i="16"/>
  <c r="K8" i="20"/>
  <c r="S8" i="20" s="1"/>
  <c r="S5" i="28"/>
  <c r="G2" i="48"/>
  <c r="F42" i="48"/>
  <c r="I27" i="33"/>
  <c r="H31" i="33"/>
  <c r="H136" i="33" s="1"/>
  <c r="I28" i="40"/>
  <c r="I9" i="50"/>
  <c r="M11" i="35"/>
  <c r="H10" i="45"/>
  <c r="I27" i="40"/>
  <c r="I26" i="33"/>
  <c r="I10" i="50"/>
  <c r="G215" i="48"/>
  <c r="G93" i="48"/>
  <c r="O19" i="64"/>
  <c r="F291" i="48"/>
  <c r="F169" i="48"/>
  <c r="F45" i="48"/>
  <c r="F230" i="48"/>
  <c r="F108" i="48"/>
  <c r="G233" i="48"/>
  <c r="G111" i="48"/>
  <c r="F245" i="48"/>
  <c r="F123" i="48"/>
  <c r="G248" i="48"/>
  <c r="G126" i="48"/>
  <c r="G309" i="48"/>
  <c r="G187" i="48"/>
  <c r="G63" i="48"/>
  <c r="D20" i="7"/>
  <c r="S46" i="13"/>
  <c r="I47" i="13" s="1"/>
  <c r="S43" i="16"/>
  <c r="J6" i="27"/>
  <c r="S5" i="27"/>
  <c r="G48" i="48"/>
  <c r="F184" i="48"/>
  <c r="G306" i="48"/>
  <c r="AD46" i="13"/>
  <c r="J7" i="14"/>
  <c r="M10" i="35"/>
  <c r="E31" i="62"/>
  <c r="C31" i="62" s="1"/>
  <c r="D4" i="8" s="1"/>
  <c r="E4" i="62"/>
  <c r="C4" i="62" s="1"/>
  <c r="D4" i="7" s="1"/>
  <c r="D22" i="7"/>
  <c r="S6" i="13"/>
  <c r="S43" i="13"/>
  <c r="AD44" i="14"/>
  <c r="S5" i="23"/>
  <c r="H14" i="34"/>
  <c r="G190" i="48"/>
  <c r="G254" i="48"/>
  <c r="O20" i="64"/>
  <c r="AD44" i="16"/>
  <c r="F263" i="48"/>
  <c r="F141" i="48"/>
  <c r="D21" i="7"/>
  <c r="G245" i="48"/>
  <c r="G123" i="48"/>
  <c r="G263" i="48"/>
  <c r="G141" i="48"/>
  <c r="AC41" i="24"/>
  <c r="AC41" i="28"/>
  <c r="H15" i="34"/>
  <c r="I8" i="39"/>
  <c r="I58" i="43"/>
  <c r="H58" i="43" s="1"/>
  <c r="H38" i="43"/>
  <c r="G66" i="48"/>
  <c r="F202" i="48"/>
  <c r="G324" i="48"/>
  <c r="F327" i="48"/>
  <c r="F205" i="48"/>
  <c r="F81" i="48"/>
  <c r="F266" i="48"/>
  <c r="F144" i="48"/>
  <c r="F270" i="48"/>
  <c r="F148" i="48"/>
  <c r="F24" i="48"/>
  <c r="G212" i="48"/>
  <c r="G90" i="48"/>
  <c r="G273" i="48"/>
  <c r="G151" i="48"/>
  <c r="G27" i="48"/>
  <c r="F285" i="48"/>
  <c r="F163" i="48"/>
  <c r="F39" i="48"/>
  <c r="F224" i="48"/>
  <c r="F102" i="48"/>
  <c r="G227" i="48"/>
  <c r="G105" i="48"/>
  <c r="F239" i="48"/>
  <c r="F117" i="48"/>
  <c r="F300" i="48"/>
  <c r="F178" i="48"/>
  <c r="F54" i="48"/>
  <c r="G303" i="48"/>
  <c r="G181" i="48"/>
  <c r="G57" i="48"/>
  <c r="F257" i="48"/>
  <c r="F135" i="48"/>
  <c r="F318" i="48"/>
  <c r="F196" i="48"/>
  <c r="F72" i="48"/>
  <c r="G321" i="48"/>
  <c r="G199" i="48"/>
  <c r="G75" i="48"/>
  <c r="S6" i="12"/>
  <c r="S45" i="14"/>
  <c r="S44" i="16"/>
  <c r="S6" i="22"/>
  <c r="S5" i="24"/>
  <c r="S6" i="30"/>
  <c r="B34" i="33"/>
  <c r="F78" i="48"/>
  <c r="G138" i="48"/>
  <c r="G202" i="48"/>
  <c r="AD43" i="12"/>
  <c r="I31" i="33"/>
  <c r="I136" i="33" s="1"/>
  <c r="G78" i="48"/>
  <c r="I12" i="38"/>
  <c r="I12" i="37"/>
  <c r="H16" i="34"/>
  <c r="M12" i="35"/>
  <c r="I9" i="39"/>
  <c r="AD46" i="29"/>
  <c r="G266" i="48"/>
  <c r="G144" i="48"/>
  <c r="G327" i="48"/>
  <c r="G205" i="48"/>
  <c r="G81" i="48"/>
  <c r="G209" i="48"/>
  <c r="G87" i="48"/>
  <c r="G5" i="48"/>
  <c r="F221" i="48"/>
  <c r="F99" i="48"/>
  <c r="F282" i="48"/>
  <c r="F160" i="48"/>
  <c r="F36" i="48"/>
  <c r="G285" i="48"/>
  <c r="G163" i="48"/>
  <c r="G39" i="48"/>
  <c r="AD43" i="18"/>
  <c r="F297" i="48"/>
  <c r="F175" i="48"/>
  <c r="F51" i="48"/>
  <c r="G300" i="48"/>
  <c r="G178" i="48"/>
  <c r="G54" i="48"/>
  <c r="G239" i="48"/>
  <c r="G117" i="48"/>
  <c r="F315" i="48"/>
  <c r="F193" i="48"/>
  <c r="F69" i="48"/>
  <c r="G318" i="48"/>
  <c r="G196" i="48"/>
  <c r="G72" i="48"/>
  <c r="G257" i="48"/>
  <c r="G135" i="48"/>
  <c r="AD43" i="15"/>
  <c r="S45" i="16"/>
  <c r="AC42" i="25"/>
  <c r="I11" i="38"/>
  <c r="I36" i="43"/>
  <c r="H36" i="43" s="1"/>
  <c r="G148" i="48"/>
  <c r="F209" i="48"/>
  <c r="F2" i="54"/>
  <c r="F2" i="55"/>
  <c r="G24" i="64"/>
  <c r="L23" i="64"/>
  <c r="AD43" i="11"/>
  <c r="AD45" i="16"/>
  <c r="I6" i="20"/>
  <c r="G24" i="48"/>
  <c r="F87" i="48"/>
  <c r="G276" i="48"/>
  <c r="G230" i="48"/>
  <c r="G108" i="48"/>
  <c r="G291" i="48"/>
  <c r="G169" i="48"/>
  <c r="G45" i="48"/>
  <c r="F303" i="48"/>
  <c r="F181" i="48"/>
  <c r="F57" i="48"/>
  <c r="F242" i="48"/>
  <c r="F120" i="48"/>
  <c r="F279" i="48"/>
  <c r="F157" i="48"/>
  <c r="F33" i="48"/>
  <c r="G282" i="48"/>
  <c r="G160" i="48"/>
  <c r="G36" i="48"/>
  <c r="G221" i="48"/>
  <c r="G99" i="48"/>
  <c r="G297" i="48"/>
  <c r="G175" i="48"/>
  <c r="G51" i="48"/>
  <c r="F251" i="48"/>
  <c r="F129" i="48"/>
  <c r="F312" i="48"/>
  <c r="F190" i="48"/>
  <c r="F66" i="48"/>
  <c r="AG42" i="31"/>
  <c r="G315" i="48"/>
  <c r="G193" i="48"/>
  <c r="G69" i="48"/>
  <c r="AG49" i="19"/>
  <c r="AC41" i="27"/>
  <c r="AD46" i="32"/>
  <c r="F96" i="48"/>
  <c r="G154" i="48"/>
  <c r="G218" i="48"/>
  <c r="F227" i="48"/>
  <c r="F105" i="48"/>
  <c r="F321" i="48"/>
  <c r="F199" i="48"/>
  <c r="F75" i="48"/>
  <c r="F260" i="48"/>
  <c r="F138" i="48"/>
  <c r="S46" i="16"/>
  <c r="AC41" i="21"/>
  <c r="J7" i="25"/>
  <c r="AD46" i="26"/>
  <c r="H11" i="45"/>
  <c r="G30" i="48"/>
  <c r="G96" i="48"/>
  <c r="F166" i="48"/>
  <c r="G224" i="48"/>
  <c r="G288" i="48"/>
  <c r="H47" i="51"/>
  <c r="AA11" i="63"/>
  <c r="N11" i="63" s="1"/>
  <c r="I15" i="45" s="1"/>
  <c r="U15" i="63"/>
  <c r="M15" i="63" s="1"/>
  <c r="E19" i="45" s="1"/>
  <c r="J50" i="51"/>
  <c r="E29" i="62"/>
  <c r="C29" i="62" s="1"/>
  <c r="D5" i="49" s="1"/>
  <c r="AA15" i="63"/>
  <c r="N15" i="63" s="1"/>
  <c r="I19" i="45" s="1"/>
  <c r="G48" i="51"/>
  <c r="E5" i="54"/>
  <c r="E30" i="62"/>
  <c r="C30" i="62" s="1"/>
  <c r="D14" i="47" s="1"/>
  <c r="AA12" i="63"/>
  <c r="N12" i="63" s="1"/>
  <c r="I16" i="45" s="1"/>
  <c r="AA16" i="63"/>
  <c r="N16" i="63" s="1"/>
  <c r="I21" i="45" s="1"/>
  <c r="U148" i="63"/>
  <c r="M148" i="63" s="1"/>
  <c r="E12" i="46" s="1"/>
  <c r="E31" i="47"/>
  <c r="M87" i="48"/>
  <c r="M209" i="48"/>
  <c r="E11" i="49"/>
  <c r="H48" i="51"/>
  <c r="J51" i="51"/>
  <c r="H15" i="43"/>
  <c r="E35" i="47"/>
  <c r="G49" i="51"/>
  <c r="E5" i="62"/>
  <c r="C5" i="62" s="1"/>
  <c r="D5" i="46" s="1"/>
  <c r="AA13" i="63"/>
  <c r="N13" i="63" s="1"/>
  <c r="I17" i="45" s="1"/>
  <c r="E38" i="47"/>
  <c r="G46" i="51"/>
  <c r="H49" i="51"/>
  <c r="E5" i="55"/>
  <c r="E32" i="62"/>
  <c r="C32" i="62" s="1"/>
  <c r="H46" i="51"/>
  <c r="E6" i="62"/>
  <c r="C6" i="62" s="1"/>
  <c r="E21" i="33" s="1"/>
  <c r="G47" i="51"/>
  <c r="H50" i="51"/>
  <c r="L24" i="64" l="1"/>
  <c r="H25" i="64"/>
  <c r="L25" i="64" s="1"/>
  <c r="K46" i="22"/>
  <c r="S46" i="22" s="1"/>
  <c r="S45" i="22"/>
  <c r="S7" i="11"/>
  <c r="K8" i="11"/>
  <c r="S8" i="11" s="1"/>
  <c r="K7" i="27"/>
  <c r="S7" i="27" s="1"/>
  <c r="S6" i="27"/>
  <c r="K49" i="14"/>
  <c r="S49" i="14" s="1"/>
  <c r="S48" i="14"/>
  <c r="K7" i="21"/>
  <c r="S7" i="21" s="1"/>
  <c r="S6" i="21"/>
  <c r="K47" i="31"/>
  <c r="S47" i="31" s="1"/>
  <c r="S46" i="31"/>
  <c r="S48" i="12"/>
  <c r="K49" i="12"/>
  <c r="S49" i="12" s="1"/>
  <c r="K46" i="24"/>
  <c r="S46" i="24" s="1"/>
  <c r="S45" i="24"/>
  <c r="K46" i="21"/>
  <c r="S46" i="21" s="1"/>
  <c r="S45" i="21"/>
  <c r="S46" i="30"/>
  <c r="K47" i="30"/>
  <c r="S47" i="30" s="1"/>
  <c r="K8" i="14"/>
  <c r="S8" i="14" s="1"/>
  <c r="S7" i="14"/>
  <c r="U55" i="19"/>
  <c r="L56" i="19"/>
  <c r="U56" i="19" s="1"/>
  <c r="D47" i="7"/>
  <c r="D51" i="7"/>
  <c r="D49" i="7"/>
  <c r="D48" i="7"/>
  <c r="D46" i="7"/>
  <c r="J48" i="13"/>
  <c r="S47" i="13"/>
  <c r="S45" i="28"/>
  <c r="K46" i="28"/>
  <c r="S46" i="28" s="1"/>
  <c r="K49" i="18"/>
  <c r="S49" i="18" s="1"/>
  <c r="S48" i="18"/>
  <c r="J48" i="16"/>
  <c r="I47" i="16"/>
  <c r="S45" i="27"/>
  <c r="K46" i="27"/>
  <c r="S46" i="27" s="1"/>
  <c r="L9" i="19"/>
  <c r="U9" i="19" s="1"/>
  <c r="U8" i="19"/>
  <c r="K49" i="17"/>
  <c r="S49" i="17" s="1"/>
  <c r="S48" i="17"/>
  <c r="S48" i="15"/>
  <c r="K49" i="15"/>
  <c r="S49" i="15" s="1"/>
  <c r="F5" i="43"/>
  <c r="F5" i="42"/>
  <c r="F5" i="44"/>
  <c r="F5" i="41"/>
  <c r="S48" i="11"/>
  <c r="K49" i="11"/>
  <c r="S49" i="11" s="1"/>
  <c r="K46" i="23"/>
  <c r="S46" i="23" s="1"/>
  <c r="S45" i="23"/>
  <c r="S7" i="15"/>
  <c r="K8" i="15"/>
  <c r="S8" i="15" s="1"/>
  <c r="K49" i="13" l="1"/>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<sst xmlns="http://schemas.openxmlformats.org/spreadsheetml/2006/main" count="15116" uniqueCount="3598">
  <si>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</si>
  <si>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</si>
  <si>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</si>
  <si>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</si>
  <si>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</si>
  <si>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</si>
  <si>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</si>
  <si>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</si>
  <si>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</si>
  <si>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</si>
  <si>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</si>
  <si>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</si>
  <si>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</si>
  <si>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28856006</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</si>
  <si>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</si>
  <si>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</si>
  <si>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</si>
  <si>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</si>
  <si>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</si>
  <si>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</si>
  <si>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</si>
  <si>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</si>
  <si>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</si>
  <si>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</si>
  <si>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</si>
  <si>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</si>
  <si>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</si>
  <si>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</si>
  <si>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</si>
  <si>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</si>
  <si>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</si>
  <si>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</si>
  <si>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</si>
  <si>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</si>
  <si>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</si>
  <si>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</si>
  <si>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</si>
  <si>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</si>
  <si>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</si>
  <si>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</si>
  <si>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</si>
  <si>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</si>
  <si>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</si>
  <si>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 (РСТ Югры)</t>
  </si>
  <si>
    <t>Источник официального опубликования решения</t>
  </si>
  <si>
    <t>«Официальный интернет-портал правовой информации» (www.pravo.gov.ru)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</si>
  <si>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</si>
  <si>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</si>
  <si>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"Юграавиа"</t>
  </si>
  <si>
    <t>Наименование (описание) обособленного подразделения</t>
  </si>
  <si>
    <t>ИНН</t>
  </si>
  <si>
    <t>8601053210</t>
  </si>
  <si>
    <t>КПП</t>
  </si>
  <si>
    <t>860101001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</si>
  <si>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</si>
  <si>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</si>
  <si>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</si>
  <si>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</si>
  <si>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</si>
  <si>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</si>
  <si>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</si>
  <si>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</si>
  <si>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</si>
  <si>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</si>
  <si>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</si>
  <si>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</si>
  <si>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</si>
  <si>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</si>
  <si>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</si>
  <si>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</si>
  <si>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</si>
  <si>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628012, Российская Федерация, Ханты-Мансийский автономный округа – Югра , город Ханты-Мансийск, территория Аэрпорта</t>
  </si>
  <si>
    <t>Фамилия, имя, отчество руководителя</t>
  </si>
  <si>
    <t>Качура Александр Юрьевич</t>
  </si>
  <si>
    <t>Ответственный за заполнение формы</t>
  </si>
  <si>
    <t>Фамилия, имя, отчество</t>
  </si>
  <si>
    <t>Третьякова Яна Александровна</t>
  </si>
  <si>
    <t>Должность</t>
  </si>
  <si>
    <t>Ведущий экономист</t>
  </si>
  <si>
    <t>Контактный телефон</t>
  </si>
  <si>
    <t>3467354-131</t>
  </si>
  <si>
    <t>E-mail</t>
  </si>
  <si>
    <t>Tretyakova@ugraavia.ru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</si>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</sst>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94">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110" fillId="10" borderId="6" xfId="13" applyFill="1" applyBorder="1" applyAlignment="1">
      <alignment horizontal="center" vertical="center" wrapText="1"/>
    </xf>
    <xf numFmtId="49" fontId="29" fillId="0" borderId="0" xfId="13" applyFont="1" applyAlignment="1">
      <alignment horizontal="center" vertical="center" wrapText="1"/>
    </xf>
    <xf numFmtId="49" fontId="28" fillId="0" borderId="3" xfId="13" applyFont="1" applyBorder="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170" fontId="110" fillId="12" borderId="3" xfId="13" applyNumberFormat="1" applyFill="1" applyBorder="1" applyAlignment="1" applyProtection="1">
      <alignment horizontal="center" vertical="center" wrapText="1"/>
      <protection locked="0"/>
    </xf>
    <xf numFmtId="49" fontId="110" fillId="12" borderId="3" xfId="13" applyFill="1" applyBorder="1" applyAlignment="1" applyProtection="1">
      <alignment horizontal="center" vertical="center" wrapText="1"/>
      <protection locked="0"/>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0" fillId="8" borderId="4"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4" xfId="13" applyNumberFormat="1" applyFont="1" applyBorder="1" applyAlignment="1">
      <alignment horizontal="center" vertical="center" wrapText="1"/>
    </xf>
    <xf numFmtId="0" fontId="110" fillId="0" borderId="4" xfId="13" applyNumberFormat="1" applyBorder="1" applyAlignment="1">
      <alignment horizontal="center" vertical="center" wrapText="1"/>
    </xf>
    <xf numFmtId="170" fontId="110" fillId="12" borderId="8" xfId="13" applyNumberFormat="1" applyFill="1" applyBorder="1" applyAlignment="1" applyProtection="1">
      <alignment horizontal="center" vertical="center" wrapText="1"/>
      <protection locked="0"/>
    </xf>
    <xf numFmtId="49" fontId="110" fillId="12" borderId="14" xfId="13" applyFill="1" applyBorder="1" applyAlignment="1" applyProtection="1">
      <alignment horizontal="center" vertical="center" wrapText="1"/>
      <protection locked="0"/>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retyakova@ugraavia.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61" customWidth="1"/>
    <col min="2" max="2" width="9.125" style="61" customWidth="1"/>
    <col min="3" max="3" width="16.375" style="61" customWidth="1"/>
    <col min="4" max="25" width="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1" t="s">
        <v>1</v>
      </c>
      <c r="C2" s="1131"/>
      <c r="D2" s="1131"/>
      <c r="E2" s="1131"/>
      <c r="F2" s="1131"/>
      <c r="G2" s="1131"/>
      <c r="H2" s="1131"/>
      <c r="I2" s="1131"/>
      <c r="J2" s="1131"/>
      <c r="K2" s="1131"/>
      <c r="L2" s="1131"/>
      <c r="M2" s="1131"/>
      <c r="N2" s="1131"/>
      <c r="O2" s="1131"/>
      <c r="P2" s="1131"/>
      <c r="Q2" s="914"/>
      <c r="R2" s="914"/>
      <c r="S2" s="914"/>
      <c r="T2" s="914"/>
      <c r="U2" s="914"/>
      <c r="V2" s="915"/>
      <c r="W2" s="914"/>
      <c r="X2" s="914"/>
      <c r="Y2" s="912"/>
      <c r="Z2" s="911"/>
      <c r="AA2" s="913"/>
      <c r="AB2" s="911"/>
    </row>
    <row r="3" spans="1:28" ht="15.75" customHeight="1">
      <c r="A3" s="911"/>
      <c r="B3" s="1132" t="s">
        <v>2</v>
      </c>
      <c r="C3" s="1132"/>
      <c r="D3" s="1132"/>
      <c r="E3" s="1132"/>
      <c r="F3" s="1132"/>
      <c r="G3" s="1132"/>
      <c r="H3" s="1132"/>
      <c r="I3" s="1132"/>
      <c r="J3" s="1132"/>
      <c r="K3" s="1132"/>
      <c r="L3" s="1132"/>
      <c r="M3" s="1132"/>
      <c r="N3" s="1132"/>
      <c r="O3" s="1132"/>
      <c r="P3" s="113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34"/>
      <c r="D5" s="1134"/>
      <c r="E5" s="1134"/>
      <c r="F5" s="1134"/>
      <c r="G5" s="1134"/>
      <c r="H5" s="1134"/>
      <c r="I5" s="1134"/>
      <c r="J5" s="1134"/>
      <c r="K5" s="1134"/>
      <c r="L5" s="1134"/>
      <c r="M5" s="1134"/>
      <c r="N5" s="1134"/>
      <c r="O5" s="1134"/>
      <c r="P5" s="1134"/>
      <c r="Q5" s="1134"/>
      <c r="R5" s="1134"/>
      <c r="S5" s="1134"/>
      <c r="T5" s="1134"/>
      <c r="U5" s="1134"/>
      <c r="V5" s="1134"/>
      <c r="W5" s="1134"/>
      <c r="X5" s="1134"/>
      <c r="Y5" s="1135"/>
      <c r="Z5" s="917"/>
      <c r="AA5" s="913"/>
      <c r="AB5" s="917"/>
    </row>
    <row r="6" spans="1:28" ht="15" customHeight="1">
      <c r="A6" s="918"/>
      <c r="B6" s="1123" t="s">
        <v>3</v>
      </c>
      <c r="C6" s="112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3"/>
      <c r="C7" s="112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3"/>
      <c r="C8" s="1126"/>
      <c r="D8" s="924"/>
      <c r="E8" s="925" t="s">
        <v>4</v>
      </c>
      <c r="F8" s="1136" t="s">
        <v>5</v>
      </c>
      <c r="G8" s="1125"/>
      <c r="H8" s="1125"/>
      <c r="I8" s="1125"/>
      <c r="J8" s="1125"/>
      <c r="K8" s="1125"/>
      <c r="L8" s="1125"/>
      <c r="M8" s="1125"/>
      <c r="N8" s="924"/>
      <c r="O8" s="926" t="s">
        <v>4</v>
      </c>
      <c r="P8" s="1137" t="s">
        <v>6</v>
      </c>
      <c r="Q8" s="1138"/>
      <c r="R8" s="1138"/>
      <c r="S8" s="1138"/>
      <c r="T8" s="1138"/>
      <c r="U8" s="1138"/>
      <c r="V8" s="1138"/>
      <c r="W8" s="1138"/>
      <c r="X8" s="1138"/>
      <c r="Y8" s="920"/>
      <c r="Z8" s="921"/>
      <c r="AA8" s="922"/>
      <c r="AB8" s="922"/>
    </row>
    <row r="9" spans="1:28" ht="15" customHeight="1">
      <c r="A9" s="918"/>
      <c r="B9" s="1123"/>
      <c r="C9" s="1126"/>
      <c r="D9" s="924"/>
      <c r="E9" s="927" t="s">
        <v>4</v>
      </c>
      <c r="F9" s="1136" t="s">
        <v>7</v>
      </c>
      <c r="G9" s="1125"/>
      <c r="H9" s="1125"/>
      <c r="I9" s="1125"/>
      <c r="J9" s="1125"/>
      <c r="K9" s="1125"/>
      <c r="L9" s="1125"/>
      <c r="M9" s="1125"/>
      <c r="N9" s="924"/>
      <c r="O9" s="928" t="s">
        <v>4</v>
      </c>
      <c r="P9" s="1137" t="s">
        <v>8</v>
      </c>
      <c r="Q9" s="1138"/>
      <c r="R9" s="1138"/>
      <c r="S9" s="1138"/>
      <c r="T9" s="1138"/>
      <c r="U9" s="1138"/>
      <c r="V9" s="1138"/>
      <c r="W9" s="1138"/>
      <c r="X9" s="1138"/>
      <c r="Y9" s="920"/>
      <c r="Z9" s="921"/>
      <c r="AA9" s="922"/>
      <c r="AB9" s="922"/>
    </row>
    <row r="10" spans="1:28" ht="30" customHeight="1">
      <c r="A10" s="918"/>
      <c r="B10" s="1123"/>
      <c r="C10" s="112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2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3"/>
      <c r="C12" s="1124"/>
      <c r="D12" s="932"/>
      <c r="E12" s="1125" t="s">
        <v>10</v>
      </c>
      <c r="F12" s="1125"/>
      <c r="G12" s="1125"/>
      <c r="H12" s="1125"/>
      <c r="I12" s="1125"/>
      <c r="J12" s="1125"/>
      <c r="K12" s="1125"/>
      <c r="L12" s="1125"/>
      <c r="M12" s="1125"/>
      <c r="N12" s="1125"/>
      <c r="O12" s="1125"/>
      <c r="P12" s="1125"/>
      <c r="Q12" s="1125"/>
      <c r="R12" s="1125"/>
      <c r="S12" s="1125"/>
      <c r="T12" s="1125"/>
      <c r="U12" s="1125"/>
      <c r="V12" s="1125"/>
      <c r="W12" s="1125"/>
      <c r="X12" s="1125"/>
      <c r="Y12" s="920"/>
      <c r="Z12" s="921"/>
      <c r="AA12" s="922"/>
      <c r="AB12" s="922"/>
    </row>
    <row r="13" spans="1:28" ht="15" customHeight="1">
      <c r="A13" s="918"/>
      <c r="B13" s="1" t="s">
        <v>11</v>
      </c>
      <c r="C13" s="112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3"/>
      <c r="C14" s="1126"/>
      <c r="D14" s="924"/>
      <c r="E14" s="1129" t="s">
        <v>12</v>
      </c>
      <c r="F14" s="1129"/>
      <c r="G14" s="1129"/>
      <c r="H14" s="1129"/>
      <c r="I14" s="1129"/>
      <c r="J14" s="1129"/>
      <c r="K14" s="1129"/>
      <c r="L14" s="1129"/>
      <c r="M14" s="1129"/>
      <c r="N14" s="1129"/>
      <c r="O14" s="1129"/>
      <c r="P14" s="1129"/>
      <c r="Q14" s="1129"/>
      <c r="R14" s="1129"/>
      <c r="S14" s="1129"/>
      <c r="T14" s="1129"/>
      <c r="U14" s="1129"/>
      <c r="V14" s="1129"/>
      <c r="W14" s="1129"/>
      <c r="X14" s="1129"/>
      <c r="Y14" s="920"/>
      <c r="Z14" s="921"/>
      <c r="AA14" s="922"/>
      <c r="AB14" s="922"/>
    </row>
    <row r="15" spans="1:28" ht="16.5" customHeight="1">
      <c r="A15" s="918"/>
      <c r="B15" s="1127"/>
      <c r="C15" s="112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9"/>
      <c r="C16" s="1130"/>
      <c r="D16" s="1130"/>
      <c r="E16" s="1130"/>
      <c r="F16" s="1130"/>
      <c r="G16" s="1130"/>
      <c r="H16" s="1130"/>
      <c r="I16" s="1130"/>
      <c r="J16" s="1130"/>
      <c r="K16" s="1130"/>
      <c r="L16" s="1130"/>
      <c r="M16" s="1130"/>
      <c r="N16" s="1130"/>
      <c r="O16" s="1130"/>
      <c r="P16" s="1130"/>
      <c r="Q16" s="1130"/>
      <c r="R16" s="1130"/>
      <c r="S16" s="1130"/>
      <c r="T16" s="1130"/>
      <c r="U16" s="1130"/>
      <c r="V16" s="1130"/>
      <c r="W16" s="1130"/>
      <c r="X16" s="1130"/>
      <c r="Y16" s="113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8" hidden="1" customWidth="1"/>
    <col min="2" max="3" width="9.125" style="11" hidden="1" customWidth="1"/>
    <col min="4" max="4" width="3" style="77" customWidth="1"/>
    <col min="5" max="5" width="6" style="11" customWidth="1"/>
    <col min="6" max="6" width="1.75" style="11" hidden="1" customWidth="1"/>
    <col min="7" max="8" width="30" style="11" customWidth="1"/>
    <col min="9" max="9" width="8" style="11" customWidth="1"/>
    <col min="10" max="10" width="12.125" style="11" customWidth="1"/>
    <col min="11" max="11" width="46" style="11" customWidth="1"/>
    <col min="12" max="12" width="100" style="11" customWidth="1"/>
    <col min="13" max="13" width="7" style="45" customWidth="1"/>
    <col min="14" max="22" width="10" style="11" customWidth="1"/>
    <col min="23" max="23" width="10.6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1" t="s">
        <v>392</v>
      </c>
      <c r="F4" s="1151"/>
      <c r="G4" s="1152"/>
      <c r="H4" s="1152"/>
      <c r="I4" s="1153"/>
      <c r="J4" s="281"/>
      <c r="K4" s="253"/>
      <c r="L4" s="253"/>
      <c r="W4" s="11">
        <v>22</v>
      </c>
    </row>
    <row r="5" spans="1:23" s="11" customFormat="1" ht="18" customHeight="1">
      <c r="A5" s="8"/>
      <c r="D5" s="23"/>
      <c r="E5" s="1269" t="str">
        <f>IF(org=0,"Не определено",org)</f>
        <v>АО "Юграавиа"</v>
      </c>
      <c r="F5" s="1269"/>
      <c r="G5" s="1270"/>
      <c r="H5" s="1270"/>
      <c r="I5" s="1271"/>
      <c r="J5" s="281"/>
      <c r="K5" s="253"/>
      <c r="L5" s="253"/>
      <c r="M5" s="45"/>
      <c r="W5" s="11">
        <v>17</v>
      </c>
    </row>
    <row r="6" spans="1:23" s="136" customFormat="1" ht="11.55" customHeight="1">
      <c r="A6" s="274"/>
      <c r="D6" s="279"/>
      <c r="E6" s="134"/>
      <c r="F6" s="134"/>
      <c r="G6" s="277"/>
      <c r="H6" s="277"/>
      <c r="I6" s="278"/>
      <c r="J6" s="278"/>
      <c r="K6" s="435"/>
      <c r="L6" s="278"/>
      <c r="W6" s="136">
        <v>11</v>
      </c>
    </row>
    <row r="7" spans="1:23" ht="14.7" customHeight="1">
      <c r="D7" s="23"/>
      <c r="E7" s="1254" t="s">
        <v>304</v>
      </c>
      <c r="F7" s="1254"/>
      <c r="G7" s="1255"/>
      <c r="H7" s="1255"/>
      <c r="I7" s="1255"/>
      <c r="J7" s="1255"/>
      <c r="K7" s="1255"/>
      <c r="L7" s="1217" t="s">
        <v>305</v>
      </c>
      <c r="W7" s="11">
        <v>14</v>
      </c>
    </row>
    <row r="8" spans="1:23" ht="48.3" customHeight="1">
      <c r="D8" s="23"/>
      <c r="E8" s="36" t="s">
        <v>89</v>
      </c>
      <c r="F8" s="36"/>
      <c r="G8" s="41" t="s">
        <v>87</v>
      </c>
      <c r="H8" s="41" t="s">
        <v>88</v>
      </c>
      <c r="I8" s="39" t="s">
        <v>86</v>
      </c>
      <c r="J8" s="39" t="s">
        <v>393</v>
      </c>
      <c r="K8" s="39" t="s">
        <v>394</v>
      </c>
      <c r="L8" s="1217"/>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7" t="s">
        <v>395</v>
      </c>
      <c r="W10" s="11">
        <v>0</v>
      </c>
    </row>
    <row r="11" spans="1:23" ht="15" hidden="1" customHeight="1">
      <c r="A11" s="1143"/>
      <c r="B11" s="34"/>
      <c r="C11" s="34"/>
      <c r="D11" s="501"/>
      <c r="E11" s="291"/>
      <c r="F11" s="291"/>
      <c r="G11" s="291"/>
      <c r="H11" s="291"/>
      <c r="I11" s="213"/>
      <c r="J11" s="292"/>
      <c r="K11" s="411"/>
      <c r="L11" s="1281"/>
      <c r="M11" s="68"/>
      <c r="N11" s="68"/>
      <c r="O11" s="68"/>
      <c r="P11" s="293"/>
      <c r="Q11" s="293"/>
      <c r="R11" s="294"/>
      <c r="S11" s="68"/>
      <c r="T11" s="68"/>
      <c r="U11" s="68"/>
      <c r="V11" s="68"/>
      <c r="W11" s="11">
        <v>0</v>
      </c>
    </row>
    <row r="12" spans="1:23" s="136" customFormat="1" ht="15" customHeight="1">
      <c r="A12" s="1143"/>
      <c r="B12" s="34"/>
      <c r="C12" s="34"/>
      <c r="D12" s="502"/>
      <c r="E12" s="36">
        <v>1</v>
      </c>
      <c r="F12" s="500">
        <v>23</v>
      </c>
      <c r="G12" s="499"/>
      <c r="H12" s="455"/>
      <c r="I12" s="453"/>
      <c r="J12" s="296" t="s">
        <v>67</v>
      </c>
      <c r="K12" s="117" t="s">
        <v>28</v>
      </c>
      <c r="L12" s="1281"/>
      <c r="M12" s="68"/>
      <c r="N12" s="68"/>
      <c r="O12" s="68"/>
      <c r="P12" s="293" t="s">
        <v>396</v>
      </c>
      <c r="Q12" s="293" t="s">
        <v>397</v>
      </c>
      <c r="R12" s="294" t="s">
        <v>398</v>
      </c>
      <c r="S12" s="68" t="s">
        <v>399</v>
      </c>
      <c r="T12" s="68"/>
      <c r="U12" s="68"/>
      <c r="V12" s="68"/>
      <c r="W12" s="136">
        <v>14</v>
      </c>
    </row>
    <row r="13" spans="1:23" ht="15.75" customHeight="1">
      <c r="A13" s="1143"/>
      <c r="D13" s="23"/>
      <c r="E13" s="155"/>
      <c r="F13" s="300"/>
      <c r="G13" s="52" t="s">
        <v>103</v>
      </c>
      <c r="H13" s="231"/>
      <c r="I13" s="231"/>
      <c r="J13" s="231"/>
      <c r="K13" s="230"/>
      <c r="L13" s="1268"/>
      <c r="M13" s="11"/>
      <c r="W13" s="11">
        <v>15</v>
      </c>
    </row>
    <row r="14" spans="1:23" ht="11.5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7"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7" customHeight="1">
      <c r="W16" s="11">
        <v>14</v>
      </c>
    </row>
    <row r="17" spans="1:23" ht="14.7" customHeight="1">
      <c r="W17" s="11">
        <v>14</v>
      </c>
    </row>
    <row r="18" spans="1:23" ht="14.7"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47.25" hidden="1" customHeight="1">
      <c r="A6" s="769"/>
      <c r="B6" s="769"/>
      <c r="C6" s="769"/>
      <c r="D6" s="769"/>
      <c r="E6" s="1295"/>
      <c r="F6" s="1295"/>
      <c r="G6" s="1295"/>
      <c r="H6" s="1295"/>
      <c r="I6" s="1296" t="e">
        <f>S5&amp;".1"</f>
        <v>#N/A</v>
      </c>
      <c r="J6" s="769"/>
      <c r="K6" s="769"/>
      <c r="L6" s="770" t="s">
        <v>407</v>
      </c>
      <c r="M6" s="63"/>
      <c r="P6" s="1298">
        <v>1</v>
      </c>
      <c r="Q6" s="122"/>
      <c r="R6" s="208"/>
      <c r="S6" s="709" t="e">
        <f>$I6</f>
        <v>#N/A</v>
      </c>
      <c r="T6" s="164" t="s">
        <v>408</v>
      </c>
      <c r="U6" s="171"/>
      <c r="V6" s="1282"/>
      <c r="W6" s="1283"/>
      <c r="X6" s="1283"/>
      <c r="Y6" s="1283"/>
      <c r="Z6" s="1283"/>
      <c r="AA6" s="1283"/>
      <c r="AB6" s="1283"/>
      <c r="AC6" s="1284"/>
      <c r="AD6" s="1282"/>
      <c r="AE6" s="1283"/>
      <c r="AF6" s="1283"/>
      <c r="AG6" s="1283"/>
      <c r="AH6" s="1283"/>
      <c r="AI6" s="1283"/>
      <c r="AJ6" s="1283"/>
      <c r="AK6" s="1283"/>
      <c r="AL6" s="1284"/>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5"/>
      <c r="F7" s="1295"/>
      <c r="G7" s="1295"/>
      <c r="H7" s="1295"/>
      <c r="I7" s="1297"/>
      <c r="J7" s="1296" t="e">
        <f>I6&amp;".1"</f>
        <v>#N/A</v>
      </c>
      <c r="K7" s="769"/>
      <c r="L7" s="770" t="s">
        <v>410</v>
      </c>
      <c r="M7" s="63"/>
      <c r="N7" s="63"/>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69"/>
      <c r="B8" s="769"/>
      <c r="C8" s="769"/>
      <c r="D8" s="769"/>
      <c r="E8" s="1295"/>
      <c r="F8" s="1295"/>
      <c r="G8" s="1295"/>
      <c r="H8" s="1295"/>
      <c r="I8" s="1297"/>
      <c r="J8" s="1297"/>
      <c r="K8" s="1296" t="e">
        <f>J7&amp;".1"</f>
        <v>#N/A</v>
      </c>
      <c r="L8" s="770" t="s">
        <v>413</v>
      </c>
      <c r="M8" s="63"/>
      <c r="N8" s="63"/>
      <c r="O8" s="63"/>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69"/>
      <c r="B10" s="769"/>
      <c r="C10" s="769"/>
      <c r="D10" s="769"/>
      <c r="E10" s="1295"/>
      <c r="F10" s="1295"/>
      <c r="G10" s="1295"/>
      <c r="H10" s="1295"/>
      <c r="I10" s="1297"/>
      <c r="J10" s="1296"/>
      <c r="K10" s="769"/>
      <c r="L10" s="770"/>
      <c r="M10" s="63"/>
      <c r="N10" s="63"/>
      <c r="P10" s="1298"/>
      <c r="Q10" s="1298"/>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5"/>
      <c r="F11" s="1295"/>
      <c r="G11" s="1295"/>
      <c r="H11" s="1295"/>
      <c r="I11" s="1296"/>
      <c r="J11" s="769"/>
      <c r="K11" s="769"/>
      <c r="L11" s="770"/>
      <c r="M11" s="63"/>
      <c r="P11" s="1298"/>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5"/>
      <c r="F12" s="1295"/>
      <c r="G12" s="1295"/>
      <c r="H12" s="1294"/>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14.7" customHeight="1">
      <c r="Q26" s="28"/>
      <c r="R26" s="28"/>
      <c r="S26" s="12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5"/>
      <c r="U26" s="1275"/>
      <c r="V26" s="1275"/>
      <c r="W26" s="1275"/>
      <c r="X26" s="1275"/>
      <c r="Y26" s="1275"/>
      <c r="Z26" s="1275"/>
      <c r="AA26" s="1275"/>
      <c r="AB26" s="1275"/>
      <c r="AC26" s="1275"/>
      <c r="AD26" s="1275"/>
      <c r="AE26" s="1275"/>
      <c r="AF26" s="1275"/>
      <c r="AG26" s="1275"/>
      <c r="AH26" s="1275"/>
      <c r="AI26" s="1275"/>
      <c r="AJ26" s="1275"/>
      <c r="AK26" s="59"/>
      <c r="AS26" s="11">
        <v>14</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t="s">
        <v>436</v>
      </c>
      <c r="X40" s="1140" t="s">
        <v>437</v>
      </c>
      <c r="Y40" s="1139"/>
      <c r="Z40" s="1140" t="s">
        <v>438</v>
      </c>
      <c r="AA40" s="1145"/>
      <c r="AB40" s="1139"/>
      <c r="AC40" s="1312"/>
      <c r="AD40" s="1227" t="s">
        <v>435</v>
      </c>
      <c r="AE40" s="1303" t="s">
        <v>436</v>
      </c>
      <c r="AF40" s="1140" t="s">
        <v>437</v>
      </c>
      <c r="AG40" s="1139"/>
      <c r="AH40" s="1140" t="s">
        <v>438</v>
      </c>
      <c r="AI40" s="1145"/>
      <c r="AJ40" s="1139"/>
      <c r="AK40" s="1312"/>
      <c r="AL40" s="1315"/>
      <c r="AM40" s="1158"/>
      <c r="AS40" s="11">
        <v>34</v>
      </c>
    </row>
    <row r="41" spans="1:45" ht="35.700000000000003"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95"/>
      <c r="F47" s="1295"/>
      <c r="G47" s="1295"/>
      <c r="H47" s="1295"/>
      <c r="I47" s="1296" t="str">
        <f>S46&amp;".1"</f>
        <v>....1</v>
      </c>
      <c r="J47" s="769"/>
      <c r="K47" s="769"/>
      <c r="L47" s="770" t="s">
        <v>407</v>
      </c>
      <c r="P47" s="1298">
        <v>1</v>
      </c>
      <c r="Q47" s="122"/>
      <c r="R47" s="208"/>
      <c r="S47" s="709" t="str">
        <f>$I47</f>
        <v>....1</v>
      </c>
      <c r="T47" s="164" t="s">
        <v>408</v>
      </c>
      <c r="U47" s="171"/>
      <c r="V47" s="1282"/>
      <c r="W47" s="1283"/>
      <c r="X47" s="1283"/>
      <c r="Y47" s="1283"/>
      <c r="Z47" s="1283"/>
      <c r="AA47" s="1283"/>
      <c r="AB47" s="1283"/>
      <c r="AC47" s="1284"/>
      <c r="AD47" s="1282"/>
      <c r="AE47" s="1283"/>
      <c r="AF47" s="1283"/>
      <c r="AG47" s="1283"/>
      <c r="AH47" s="1283"/>
      <c r="AI47" s="1283"/>
      <c r="AJ47" s="1283"/>
      <c r="AK47" s="1283"/>
      <c r="AL47" s="1284"/>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95"/>
      <c r="F48" s="1295"/>
      <c r="G48" s="1295"/>
      <c r="H48" s="1295"/>
      <c r="I48" s="1297"/>
      <c r="J48" s="1296" t="str">
        <f>I47&amp;".1"</f>
        <v>....1.1</v>
      </c>
      <c r="K48" s="769"/>
      <c r="L48" s="770" t="s">
        <v>410</v>
      </c>
      <c r="P48" s="1298"/>
      <c r="Q48" s="1298">
        <v>1</v>
      </c>
      <c r="R48" s="209"/>
      <c r="S48" s="709" t="str">
        <f>$J48</f>
        <v>....1.1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295"/>
      <c r="F49" s="1295"/>
      <c r="G49" s="1295"/>
      <c r="H49" s="1295"/>
      <c r="I49" s="1297"/>
      <c r="J49" s="1297"/>
      <c r="K49" s="1296" t="str">
        <f>J48&amp;".1"</f>
        <v>....1.1.1</v>
      </c>
      <c r="L49" s="770" t="s">
        <v>413</v>
      </c>
      <c r="P49" s="1298"/>
      <c r="Q49" s="1298"/>
      <c r="R49" s="209">
        <v>1</v>
      </c>
      <c r="S49" s="709" t="str">
        <f>$K49</f>
        <v>....1.1.1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414</v>
      </c>
      <c r="AN49" s="68" t="e">
        <f ca="1">STRCHECKDATE(V50:AL50)</f>
        <v>#NAME?</v>
      </c>
      <c r="AO49" s="69"/>
      <c r="AP49" s="69" t="str">
        <f t="shared" si="1"/>
        <v/>
      </c>
      <c r="AQ49" s="69"/>
      <c r="AR49" s="69"/>
      <c r="AS49" s="11">
        <v>23</v>
      </c>
    </row>
    <row r="50" spans="1:45" ht="1.05" customHeight="1">
      <c r="A50" s="769" t="s">
        <v>157</v>
      </c>
      <c r="B50" s="769" t="s">
        <v>158</v>
      </c>
      <c r="C50" s="769" t="s">
        <v>159</v>
      </c>
      <c r="D50" s="769" t="s">
        <v>160</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69" t="s">
        <v>157</v>
      </c>
      <c r="B51" s="769" t="s">
        <v>158</v>
      </c>
      <c r="C51" s="769" t="s">
        <v>159</v>
      </c>
      <c r="D51" s="769" t="s">
        <v>160</v>
      </c>
      <c r="E51" s="1295"/>
      <c r="F51" s="1295"/>
      <c r="G51" s="1295"/>
      <c r="H51" s="1295"/>
      <c r="I51" s="1297"/>
      <c r="J51" s="1296"/>
      <c r="K51" s="769"/>
      <c r="L51" s="770"/>
      <c r="P51" s="1298"/>
      <c r="Q51" s="1298"/>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157</v>
      </c>
      <c r="B52" s="769" t="s">
        <v>158</v>
      </c>
      <c r="C52" s="769" t="s">
        <v>159</v>
      </c>
      <c r="D52" s="769" t="s">
        <v>160</v>
      </c>
      <c r="E52" s="1295"/>
      <c r="F52" s="1295"/>
      <c r="G52" s="1295"/>
      <c r="H52" s="1295"/>
      <c r="I52" s="1296"/>
      <c r="J52" s="769"/>
      <c r="K52" s="769"/>
      <c r="L52" s="770"/>
      <c r="P52" s="1298"/>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7" customHeight="1">
      <c r="A53" s="769" t="s">
        <v>157</v>
      </c>
      <c r="B53" s="769" t="s">
        <v>158</v>
      </c>
      <c r="C53" s="769" t="s">
        <v>159</v>
      </c>
      <c r="D53" s="769" t="s">
        <v>160</v>
      </c>
      <c r="E53" s="1295"/>
      <c r="F53" s="1295"/>
      <c r="G53" s="1295"/>
      <c r="H53" s="1294"/>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157</v>
      </c>
      <c r="B54" s="145" t="s">
        <v>158</v>
      </c>
      <c r="C54" s="145" t="s">
        <v>159</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157</v>
      </c>
      <c r="B55" s="145" t="s">
        <v>158</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157</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27</v>
      </c>
    </row>
    <row r="60" spans="1:45" ht="67.2"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64</v>
      </c>
    </row>
    <row r="61" spans="1:45" ht="14.7" customHeight="1">
      <c r="O61" s="63"/>
      <c r="AS61" s="11">
        <v>14</v>
      </c>
    </row>
    <row r="62" spans="1:45" ht="18.75" customHeight="1">
      <c r="O62" s="63"/>
      <c r="S62" s="198"/>
      <c r="T62" s="1293"/>
      <c r="U62" s="1293"/>
      <c r="V62" s="1293"/>
      <c r="W62" s="1293"/>
      <c r="X62" s="1293"/>
      <c r="Y62" s="1293"/>
      <c r="Z62" s="1293"/>
      <c r="AA62" s="1293"/>
      <c r="AB62" s="1293"/>
      <c r="AC62" s="1293"/>
      <c r="AD62" s="1293"/>
      <c r="AE62" s="1293"/>
      <c r="AF62" s="1293"/>
      <c r="AG62" s="1293"/>
      <c r="AH62" s="1293"/>
      <c r="AI62" s="1293"/>
      <c r="AJ62" s="1293"/>
      <c r="AK62" s="1293"/>
      <c r="AL62" s="1293"/>
      <c r="AM62" s="1293"/>
      <c r="AS62" s="11">
        <v>18</v>
      </c>
    </row>
    <row r="63" spans="1:45" ht="18.75" customHeight="1">
      <c r="O63" s="63"/>
      <c r="T63" s="1293"/>
      <c r="U63" s="1293"/>
      <c r="V63" s="1293"/>
      <c r="W63" s="1293"/>
      <c r="X63" s="1293"/>
      <c r="Y63" s="1293"/>
      <c r="Z63" s="1293"/>
      <c r="AA63" s="1293"/>
      <c r="AB63" s="1293"/>
      <c r="AC63" s="1293"/>
      <c r="AD63" s="1293"/>
      <c r="AE63" s="1293"/>
      <c r="AF63" s="1293"/>
      <c r="AG63" s="1293"/>
      <c r="AH63" s="1293"/>
      <c r="AI63" s="1293"/>
      <c r="AJ63" s="1293"/>
      <c r="AK63" s="1293"/>
      <c r="AL63" s="1293"/>
      <c r="AM63" s="1293"/>
      <c r="AS63" s="11">
        <v>18</v>
      </c>
    </row>
    <row r="64" spans="1:45" ht="29.25" customHeight="1">
      <c r="O64" s="63"/>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47.25" hidden="1" customHeight="1">
      <c r="A6" s="769"/>
      <c r="B6" s="769"/>
      <c r="C6" s="769"/>
      <c r="D6" s="769"/>
      <c r="E6" s="1295"/>
      <c r="F6" s="1295"/>
      <c r="G6" s="1295"/>
      <c r="H6" s="1295"/>
      <c r="I6" s="1296" t="e">
        <f>S5&amp;".1"</f>
        <v>#N/A</v>
      </c>
      <c r="J6" s="769"/>
      <c r="K6" s="769"/>
      <c r="L6" s="770" t="s">
        <v>407</v>
      </c>
      <c r="M6" s="63"/>
      <c r="P6" s="1298">
        <v>1</v>
      </c>
      <c r="Q6" s="122"/>
      <c r="R6" s="208"/>
      <c r="S6" s="709" t="e">
        <f>$I6</f>
        <v>#N/A</v>
      </c>
      <c r="T6" s="164" t="s">
        <v>408</v>
      </c>
      <c r="U6" s="171"/>
      <c r="V6" s="1282"/>
      <c r="W6" s="1283"/>
      <c r="X6" s="1283"/>
      <c r="Y6" s="1283"/>
      <c r="Z6" s="1283"/>
      <c r="AA6" s="1283"/>
      <c r="AB6" s="1283"/>
      <c r="AC6" s="1284"/>
      <c r="AD6" s="1282"/>
      <c r="AE6" s="1283"/>
      <c r="AF6" s="1283"/>
      <c r="AG6" s="1283"/>
      <c r="AH6" s="1283"/>
      <c r="AI6" s="1283"/>
      <c r="AJ6" s="1283"/>
      <c r="AK6" s="1283"/>
      <c r="AL6" s="1284"/>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5"/>
      <c r="F7" s="1295"/>
      <c r="G7" s="1295"/>
      <c r="H7" s="1295"/>
      <c r="I7" s="1297"/>
      <c r="J7" s="1296" t="e">
        <f>I6&amp;".1"</f>
        <v>#N/A</v>
      </c>
      <c r="K7" s="769"/>
      <c r="L7" s="770" t="s">
        <v>410</v>
      </c>
      <c r="M7" s="63"/>
      <c r="N7" s="63"/>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69"/>
      <c r="B8" s="769"/>
      <c r="C8" s="769"/>
      <c r="D8" s="769"/>
      <c r="E8" s="1295"/>
      <c r="F8" s="1295"/>
      <c r="G8" s="1295"/>
      <c r="H8" s="1295"/>
      <c r="I8" s="1297"/>
      <c r="J8" s="1297"/>
      <c r="K8" s="1296" t="e">
        <f>J7&amp;".1"</f>
        <v>#N/A</v>
      </c>
      <c r="L8" s="770" t="s">
        <v>413</v>
      </c>
      <c r="M8" s="63"/>
      <c r="N8" s="63"/>
      <c r="O8" s="63"/>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69"/>
      <c r="B10" s="769"/>
      <c r="C10" s="769"/>
      <c r="D10" s="769"/>
      <c r="E10" s="1295"/>
      <c r="F10" s="1295"/>
      <c r="G10" s="1295"/>
      <c r="H10" s="1295"/>
      <c r="I10" s="1297"/>
      <c r="J10" s="1296"/>
      <c r="K10" s="769"/>
      <c r="L10" s="770"/>
      <c r="M10" s="63"/>
      <c r="N10" s="63"/>
      <c r="P10" s="1298"/>
      <c r="Q10" s="1298"/>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5"/>
      <c r="F11" s="1295"/>
      <c r="G11" s="1295"/>
      <c r="H11" s="1295"/>
      <c r="I11" s="1296"/>
      <c r="J11" s="769"/>
      <c r="K11" s="769"/>
      <c r="L11" s="770"/>
      <c r="M11" s="63"/>
      <c r="P11" s="1298"/>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5"/>
      <c r="F12" s="1295"/>
      <c r="G12" s="1295"/>
      <c r="H12" s="1294"/>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14.7" customHeight="1">
      <c r="Q26" s="28"/>
      <c r="R26" s="28"/>
      <c r="S26" s="12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5"/>
      <c r="U26" s="1275"/>
      <c r="V26" s="1275"/>
      <c r="W26" s="1275"/>
      <c r="X26" s="1275"/>
      <c r="Y26" s="1275"/>
      <c r="Z26" s="1275"/>
      <c r="AA26" s="1275"/>
      <c r="AB26" s="1275"/>
      <c r="AC26" s="1275"/>
      <c r="AD26" s="1275"/>
      <c r="AE26" s="1275"/>
      <c r="AF26" s="1275"/>
      <c r="AG26" s="1275"/>
      <c r="AH26" s="1275"/>
      <c r="AI26" s="1275"/>
      <c r="AJ26" s="1275"/>
      <c r="AK26" s="59"/>
      <c r="AS26" s="11">
        <v>14</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t="s">
        <v>436</v>
      </c>
      <c r="X40" s="1140" t="s">
        <v>437</v>
      </c>
      <c r="Y40" s="1139"/>
      <c r="Z40" s="1140" t="s">
        <v>450</v>
      </c>
      <c r="AA40" s="1145"/>
      <c r="AB40" s="1139"/>
      <c r="AC40" s="1312"/>
      <c r="AD40" s="1227" t="s">
        <v>435</v>
      </c>
      <c r="AE40" s="1303" t="s">
        <v>436</v>
      </c>
      <c r="AF40" s="1140" t="s">
        <v>437</v>
      </c>
      <c r="AG40" s="1139"/>
      <c r="AH40" s="1140" t="s">
        <v>438</v>
      </c>
      <c r="AI40" s="1145"/>
      <c r="AJ40" s="1139"/>
      <c r="AK40" s="1312"/>
      <c r="AL40" s="1315"/>
      <c r="AM40" s="1158"/>
      <c r="AS40" s="11">
        <v>34</v>
      </c>
    </row>
    <row r="41" spans="1:45" ht="35.700000000000003"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69" t="s">
        <v>162</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69" t="s">
        <v>162</v>
      </c>
      <c r="B44" s="769" t="s">
        <v>163</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69" t="s">
        <v>162</v>
      </c>
      <c r="B46" s="769" t="s">
        <v>163</v>
      </c>
      <c r="C46" s="769" t="s">
        <v>164</v>
      </c>
      <c r="D46" s="769" t="s">
        <v>165</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95"/>
      <c r="F47" s="1295"/>
      <c r="G47" s="1295"/>
      <c r="H47" s="1295"/>
      <c r="I47" s="1296" t="str">
        <f>S46&amp;".1"</f>
        <v>....1</v>
      </c>
      <c r="J47" s="769"/>
      <c r="K47" s="769"/>
      <c r="L47" s="770" t="s">
        <v>407</v>
      </c>
      <c r="P47" s="1298">
        <v>1</v>
      </c>
      <c r="Q47" s="122"/>
      <c r="R47" s="208"/>
      <c r="S47" s="709" t="str">
        <f>$I47</f>
        <v>....1</v>
      </c>
      <c r="T47" s="164" t="s">
        <v>408</v>
      </c>
      <c r="U47" s="171"/>
      <c r="V47" s="1282"/>
      <c r="W47" s="1283"/>
      <c r="X47" s="1283"/>
      <c r="Y47" s="1283"/>
      <c r="Z47" s="1283"/>
      <c r="AA47" s="1283"/>
      <c r="AB47" s="1283"/>
      <c r="AC47" s="1284"/>
      <c r="AD47" s="1282"/>
      <c r="AE47" s="1283"/>
      <c r="AF47" s="1283"/>
      <c r="AG47" s="1283"/>
      <c r="AH47" s="1283"/>
      <c r="AI47" s="1283"/>
      <c r="AJ47" s="1283"/>
      <c r="AK47" s="1283"/>
      <c r="AL47" s="1284"/>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162</v>
      </c>
      <c r="B48" s="769" t="s">
        <v>163</v>
      </c>
      <c r="C48" s="769" t="s">
        <v>164</v>
      </c>
      <c r="D48" s="769" t="s">
        <v>165</v>
      </c>
      <c r="E48" s="1295"/>
      <c r="F48" s="1295"/>
      <c r="G48" s="1295"/>
      <c r="H48" s="1295"/>
      <c r="I48" s="1297"/>
      <c r="J48" s="1296" t="str">
        <f>I47&amp;".1"</f>
        <v>....1.1</v>
      </c>
      <c r="K48" s="769"/>
      <c r="L48" s="770" t="s">
        <v>410</v>
      </c>
      <c r="P48" s="1298"/>
      <c r="Q48" s="1298">
        <v>1</v>
      </c>
      <c r="R48" s="209"/>
      <c r="S48" s="709" t="str">
        <f>$J48</f>
        <v>....1.1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69" t="s">
        <v>162</v>
      </c>
      <c r="B49" s="769" t="s">
        <v>163</v>
      </c>
      <c r="C49" s="769" t="s">
        <v>164</v>
      </c>
      <c r="D49" s="769" t="s">
        <v>165</v>
      </c>
      <c r="E49" s="1295"/>
      <c r="F49" s="1295"/>
      <c r="G49" s="1295"/>
      <c r="H49" s="1295"/>
      <c r="I49" s="1297"/>
      <c r="J49" s="1297"/>
      <c r="K49" s="1296" t="str">
        <f>J48&amp;".1"</f>
        <v>....1.1.1</v>
      </c>
      <c r="L49" s="770" t="s">
        <v>413</v>
      </c>
      <c r="P49" s="1298"/>
      <c r="Q49" s="1298"/>
      <c r="R49" s="209">
        <v>1</v>
      </c>
      <c r="S49" s="709" t="str">
        <f>$K49</f>
        <v>....1.1.1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414</v>
      </c>
      <c r="AN49" s="68" t="e">
        <f ca="1">STRCHECKDATE(V50:AL50)</f>
        <v>#NAME?</v>
      </c>
      <c r="AO49" s="69"/>
      <c r="AP49" s="69" t="str">
        <f t="shared" si="1"/>
        <v/>
      </c>
      <c r="AQ49" s="69"/>
      <c r="AR49" s="69"/>
      <c r="AS49" s="11">
        <v>21</v>
      </c>
    </row>
    <row r="50" spans="1:45" ht="1.05" customHeight="1">
      <c r="A50" s="769" t="s">
        <v>162</v>
      </c>
      <c r="B50" s="769" t="s">
        <v>163</v>
      </c>
      <c r="C50" s="769" t="s">
        <v>164</v>
      </c>
      <c r="D50" s="769" t="s">
        <v>165</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69" t="s">
        <v>162</v>
      </c>
      <c r="B51" s="769" t="s">
        <v>163</v>
      </c>
      <c r="C51" s="769" t="s">
        <v>164</v>
      </c>
      <c r="D51" s="769" t="s">
        <v>165</v>
      </c>
      <c r="E51" s="1295"/>
      <c r="F51" s="1295"/>
      <c r="G51" s="1295"/>
      <c r="H51" s="1295"/>
      <c r="I51" s="1297"/>
      <c r="J51" s="1296"/>
      <c r="K51" s="769"/>
      <c r="L51" s="770"/>
      <c r="P51" s="1298"/>
      <c r="Q51" s="1298"/>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162</v>
      </c>
      <c r="B52" s="769" t="s">
        <v>163</v>
      </c>
      <c r="C52" s="769" t="s">
        <v>164</v>
      </c>
      <c r="D52" s="769" t="s">
        <v>165</v>
      </c>
      <c r="E52" s="1295"/>
      <c r="F52" s="1295"/>
      <c r="G52" s="1295"/>
      <c r="H52" s="1295"/>
      <c r="I52" s="1296"/>
      <c r="J52" s="769"/>
      <c r="K52" s="769"/>
      <c r="L52" s="770"/>
      <c r="P52" s="1298"/>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7" customHeight="1">
      <c r="A53" s="769" t="s">
        <v>162</v>
      </c>
      <c r="B53" s="769" t="s">
        <v>163</v>
      </c>
      <c r="C53" s="769" t="s">
        <v>164</v>
      </c>
      <c r="D53" s="769" t="s">
        <v>165</v>
      </c>
      <c r="E53" s="1295"/>
      <c r="F53" s="1295"/>
      <c r="G53" s="1295"/>
      <c r="H53" s="1294"/>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162</v>
      </c>
      <c r="B54" s="145" t="s">
        <v>163</v>
      </c>
      <c r="C54" s="145" t="s">
        <v>164</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162</v>
      </c>
      <c r="B55" s="145" t="s">
        <v>163</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162</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27</v>
      </c>
    </row>
    <row r="60" spans="1:45" ht="65.25"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62</v>
      </c>
    </row>
    <row r="61" spans="1:45" ht="14.7" customHeight="1">
      <c r="O61" s="63"/>
      <c r="AS61" s="11">
        <v>14</v>
      </c>
    </row>
    <row r="62" spans="1:45" ht="18.75" customHeight="1">
      <c r="O62" s="63"/>
      <c r="S62" s="198"/>
      <c r="T62" s="1293"/>
      <c r="U62" s="1293"/>
      <c r="V62" s="1293"/>
      <c r="W62" s="1293"/>
      <c r="X62" s="1293"/>
      <c r="Y62" s="1293"/>
      <c r="Z62" s="1293"/>
      <c r="AA62" s="1293"/>
      <c r="AB62" s="1293"/>
      <c r="AC62" s="1293"/>
      <c r="AD62" s="1293"/>
      <c r="AE62" s="1293"/>
      <c r="AF62" s="1293"/>
      <c r="AG62" s="1293"/>
      <c r="AH62" s="1293"/>
      <c r="AI62" s="1293"/>
      <c r="AJ62" s="1293"/>
      <c r="AK62" s="1293"/>
      <c r="AL62" s="1293"/>
      <c r="AM62" s="1293"/>
      <c r="AS62" s="11">
        <v>18</v>
      </c>
    </row>
    <row r="63" spans="1:45" ht="18.75" customHeight="1">
      <c r="O63" s="63"/>
      <c r="T63" s="1293"/>
      <c r="U63" s="1293"/>
      <c r="V63" s="1293"/>
      <c r="W63" s="1293"/>
      <c r="X63" s="1293"/>
      <c r="Y63" s="1293"/>
      <c r="Z63" s="1293"/>
      <c r="AA63" s="1293"/>
      <c r="AB63" s="1293"/>
      <c r="AC63" s="1293"/>
      <c r="AD63" s="1293"/>
      <c r="AE63" s="1293"/>
      <c r="AF63" s="1293"/>
      <c r="AG63" s="1293"/>
      <c r="AH63" s="1293"/>
      <c r="AI63" s="1293"/>
      <c r="AJ63" s="1293"/>
      <c r="AK63" s="1293"/>
      <c r="AL63" s="1293"/>
      <c r="AM63" s="1293"/>
      <c r="AS63" s="11">
        <v>18</v>
      </c>
    </row>
    <row r="64" spans="1:45" ht="29.25" customHeight="1">
      <c r="O64" s="63"/>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1" hidden="1"/>
    <col min="2" max="2" width="11" style="11" hidden="1" customWidth="1"/>
    <col min="3" max="3" width="10.625" style="11" hidden="1"/>
    <col min="4" max="4" width="11.875" style="11" hidden="1" customWidth="1"/>
    <col min="5" max="5" width="10" style="11" hidden="1" customWidth="1"/>
    <col min="6" max="6" width="8.75" style="11" hidden="1" customWidth="1"/>
    <col min="7" max="7" width="7.625" style="11" hidden="1" customWidth="1"/>
    <col min="8" max="8" width="11.375" style="11" hidden="1" customWidth="1"/>
    <col min="9" max="9" width="12" style="11" hidden="1" customWidth="1"/>
    <col min="10" max="10" width="9.875" style="11" hidden="1" customWidth="1"/>
    <col min="11" max="11" width="11.375" style="11" hidden="1" customWidth="1"/>
    <col min="12" max="12" width="19.125" style="58" hidden="1" customWidth="1"/>
    <col min="13" max="14" width="12.25" style="33" hidden="1" customWidth="1"/>
    <col min="15" max="15" width="23.375" style="33" hidden="1" customWidth="1"/>
    <col min="16" max="16" width="3" style="33"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31"/>
      <c r="B2" s="731"/>
      <c r="C2" s="731"/>
      <c r="D2" s="731"/>
      <c r="E2" s="1320">
        <v>1</v>
      </c>
      <c r="F2" s="731"/>
      <c r="G2" s="731"/>
      <c r="H2" s="731"/>
      <c r="I2" s="731"/>
      <c r="J2" s="731"/>
      <c r="K2" s="731"/>
      <c r="L2" s="754"/>
      <c r="M2" s="342"/>
      <c r="N2" s="342"/>
      <c r="O2" s="342"/>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31"/>
      <c r="B3" s="731"/>
      <c r="C3" s="731"/>
      <c r="D3" s="731"/>
      <c r="E3" s="1321"/>
      <c r="F3" s="1320">
        <v>1</v>
      </c>
      <c r="G3" s="731"/>
      <c r="H3" s="731"/>
      <c r="I3" s="731"/>
      <c r="J3" s="731"/>
      <c r="K3" s="731"/>
      <c r="L3" s="754"/>
      <c r="M3" s="342"/>
      <c r="N3" s="342"/>
      <c r="O3" s="342"/>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31"/>
      <c r="B4" s="731"/>
      <c r="C4" s="731"/>
      <c r="D4" s="731"/>
      <c r="E4" s="1321"/>
      <c r="F4" s="1321"/>
      <c r="G4" s="1320">
        <v>1</v>
      </c>
      <c r="H4" s="731"/>
      <c r="I4" s="731"/>
      <c r="J4" s="731"/>
      <c r="K4" s="731"/>
      <c r="L4" s="754"/>
      <c r="M4" s="342"/>
      <c r="N4" s="342"/>
      <c r="O4" s="342"/>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1"/>
      <c r="F5" s="1321"/>
      <c r="G5" s="1321"/>
      <c r="H5" s="1320">
        <v>1</v>
      </c>
      <c r="I5" s="731"/>
      <c r="J5" s="731"/>
      <c r="K5" s="731"/>
      <c r="L5" s="754"/>
      <c r="M5" s="342"/>
      <c r="N5" s="342"/>
      <c r="O5" s="342"/>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47.25" hidden="1" customHeight="1">
      <c r="A6" s="731"/>
      <c r="B6" s="731"/>
      <c r="C6" s="731"/>
      <c r="D6" s="731"/>
      <c r="E6" s="1321"/>
      <c r="F6" s="1321"/>
      <c r="G6" s="1321"/>
      <c r="H6" s="1321"/>
      <c r="I6" s="1158" t="e">
        <f>S5&amp;".1"</f>
        <v>#N/A</v>
      </c>
      <c r="J6" s="731"/>
      <c r="K6" s="731"/>
      <c r="L6" s="754" t="s">
        <v>407</v>
      </c>
      <c r="M6" s="11"/>
      <c r="P6" s="1298">
        <v>1</v>
      </c>
      <c r="Q6" s="122"/>
      <c r="R6" s="208"/>
      <c r="S6" s="709" t="e">
        <f>$I6</f>
        <v>#N/A</v>
      </c>
      <c r="T6" s="164" t="s">
        <v>408</v>
      </c>
      <c r="U6" s="171"/>
      <c r="V6" s="1282"/>
      <c r="W6" s="1283"/>
      <c r="X6" s="1283"/>
      <c r="Y6" s="1283"/>
      <c r="Z6" s="1283"/>
      <c r="AA6" s="1283"/>
      <c r="AB6" s="1283"/>
      <c r="AC6" s="1284"/>
      <c r="AD6" s="1282"/>
      <c r="AE6" s="1283"/>
      <c r="AF6" s="1283"/>
      <c r="AG6" s="1283"/>
      <c r="AH6" s="1283"/>
      <c r="AI6" s="1283"/>
      <c r="AJ6" s="1283"/>
      <c r="AK6" s="1283"/>
      <c r="AL6" s="1284"/>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1"/>
      <c r="F7" s="1321"/>
      <c r="G7" s="1321"/>
      <c r="H7" s="1321"/>
      <c r="I7" s="1140"/>
      <c r="J7" s="1158" t="e">
        <f>I6&amp;".1"</f>
        <v>#N/A</v>
      </c>
      <c r="K7" s="731"/>
      <c r="L7" s="754" t="s">
        <v>410</v>
      </c>
      <c r="M7" s="11"/>
      <c r="N7" s="11"/>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31"/>
      <c r="B8" s="731"/>
      <c r="C8" s="731"/>
      <c r="D8" s="731"/>
      <c r="E8" s="1321"/>
      <c r="F8" s="1321"/>
      <c r="G8" s="1321"/>
      <c r="H8" s="1321"/>
      <c r="I8" s="1140"/>
      <c r="J8" s="1140"/>
      <c r="K8" s="1158" t="e">
        <f>J7&amp;".1"</f>
        <v>#N/A</v>
      </c>
      <c r="L8" s="754" t="s">
        <v>413</v>
      </c>
      <c r="M8" s="11"/>
      <c r="N8" s="11"/>
      <c r="O8" s="11"/>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31"/>
      <c r="B9" s="731"/>
      <c r="C9" s="731"/>
      <c r="D9" s="731"/>
      <c r="E9" s="1321"/>
      <c r="F9" s="1321"/>
      <c r="G9" s="1321"/>
      <c r="H9" s="1321"/>
      <c r="I9" s="1140"/>
      <c r="J9" s="1140"/>
      <c r="K9" s="1158"/>
      <c r="L9" s="754"/>
      <c r="M9" s="11"/>
      <c r="N9" s="11"/>
      <c r="O9" s="11"/>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31"/>
      <c r="B10" s="731"/>
      <c r="C10" s="731"/>
      <c r="D10" s="731"/>
      <c r="E10" s="1321"/>
      <c r="F10" s="1321"/>
      <c r="G10" s="1321"/>
      <c r="H10" s="1321"/>
      <c r="I10" s="1140"/>
      <c r="J10" s="1158"/>
      <c r="K10" s="731"/>
      <c r="L10" s="754"/>
      <c r="M10" s="11"/>
      <c r="N10" s="11"/>
      <c r="P10" s="1298"/>
      <c r="Q10" s="1298"/>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1"/>
      <c r="F11" s="1321"/>
      <c r="G11" s="1321"/>
      <c r="H11" s="1321"/>
      <c r="I11" s="1158"/>
      <c r="J11" s="731"/>
      <c r="K11" s="731"/>
      <c r="L11" s="754"/>
      <c r="M11" s="11"/>
      <c r="P11" s="1298"/>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1"/>
      <c r="F12" s="1321"/>
      <c r="G12" s="1321"/>
      <c r="H12" s="1320"/>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1"/>
      <c r="F13" s="1321"/>
      <c r="G13" s="1320"/>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1"/>
      <c r="F14" s="1320"/>
      <c r="G14" s="774"/>
      <c r="H14" s="774"/>
      <c r="I14" s="774"/>
      <c r="J14" s="774"/>
      <c r="K14" s="774"/>
      <c r="L14" s="775"/>
      <c r="M14" s="777"/>
      <c r="N14" s="777"/>
      <c r="O14" s="203"/>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0"/>
      <c r="F15" s="774"/>
      <c r="G15" s="774"/>
      <c r="H15" s="774"/>
      <c r="I15" s="774"/>
      <c r="J15" s="774"/>
      <c r="K15" s="774"/>
      <c r="L15" s="775"/>
      <c r="M15" s="777"/>
      <c r="N15" s="777"/>
      <c r="O15" s="203"/>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7" customHeight="1">
      <c r="Q25" s="28"/>
      <c r="R25" s="28"/>
      <c r="S25" s="739"/>
      <c r="T25" s="10"/>
      <c r="U25" s="10"/>
      <c r="AS25" s="11">
        <v>14</v>
      </c>
    </row>
    <row r="26" spans="1:45" ht="14.7" customHeight="1">
      <c r="Q26" s="28"/>
      <c r="R26" s="28"/>
      <c r="S26" s="12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5"/>
      <c r="U26" s="1275"/>
      <c r="V26" s="1275"/>
      <c r="W26" s="1275"/>
      <c r="X26" s="1275"/>
      <c r="Y26" s="1275"/>
      <c r="Z26" s="1275"/>
      <c r="AA26" s="1275"/>
      <c r="AB26" s="1275"/>
      <c r="AC26" s="1275"/>
      <c r="AD26" s="1275"/>
      <c r="AE26" s="1275"/>
      <c r="AF26" s="1275"/>
      <c r="AG26" s="1275"/>
      <c r="AH26" s="1275"/>
      <c r="AI26" s="1275"/>
      <c r="AJ26" s="1275"/>
      <c r="AK26" s="59"/>
      <c r="AS26" s="11">
        <v>14</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t="s">
        <v>436</v>
      </c>
      <c r="X40" s="1140" t="s">
        <v>437</v>
      </c>
      <c r="Y40" s="1139"/>
      <c r="Z40" s="1140" t="s">
        <v>450</v>
      </c>
      <c r="AA40" s="1145"/>
      <c r="AB40" s="1139"/>
      <c r="AC40" s="1312"/>
      <c r="AD40" s="1227" t="s">
        <v>435</v>
      </c>
      <c r="AE40" s="1303" t="s">
        <v>436</v>
      </c>
      <c r="AF40" s="1140" t="s">
        <v>437</v>
      </c>
      <c r="AG40" s="1139"/>
      <c r="AH40" s="1140" t="s">
        <v>438</v>
      </c>
      <c r="AI40" s="1145"/>
      <c r="AJ40" s="1139"/>
      <c r="AK40" s="1312"/>
      <c r="AL40" s="1315"/>
      <c r="AM40" s="1158"/>
      <c r="AS40" s="11">
        <v>34</v>
      </c>
    </row>
    <row r="41" spans="1:45" ht="35.700000000000003"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31" t="s">
        <v>211</v>
      </c>
      <c r="B43" s="731"/>
      <c r="C43" s="731"/>
      <c r="D43" s="731"/>
      <c r="E43" s="1320">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31" t="s">
        <v>211</v>
      </c>
      <c r="B44" s="731" t="s">
        <v>212</v>
      </c>
      <c r="C44" s="731"/>
      <c r="D44" s="731"/>
      <c r="E44" s="1321"/>
      <c r="F44" s="1320">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1"/>
      <c r="F45" s="1321"/>
      <c r="G45" s="1320">
        <v>1</v>
      </c>
      <c r="H45" s="731"/>
      <c r="I45" s="731"/>
      <c r="J45" s="731"/>
      <c r="K45" s="731"/>
      <c r="L45" s="754"/>
      <c r="M45" s="342"/>
      <c r="N45" s="342"/>
      <c r="O45" s="342"/>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31" t="s">
        <v>211</v>
      </c>
      <c r="B46" s="731" t="s">
        <v>212</v>
      </c>
      <c r="C46" s="731" t="s">
        <v>213</v>
      </c>
      <c r="D46" s="731" t="s">
        <v>214</v>
      </c>
      <c r="E46" s="1321"/>
      <c r="F46" s="1321"/>
      <c r="G46" s="1321"/>
      <c r="H46" s="1320">
        <v>1</v>
      </c>
      <c r="I46" s="731"/>
      <c r="J46" s="731"/>
      <c r="K46" s="731"/>
      <c r="L46" s="754"/>
      <c r="M46" s="342"/>
      <c r="N46" s="342"/>
      <c r="O46" s="342"/>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1"/>
      <c r="F47" s="1321"/>
      <c r="G47" s="1321"/>
      <c r="H47" s="1321"/>
      <c r="I47" s="1158" t="str">
        <f>S46&amp;".1"</f>
        <v>....1</v>
      </c>
      <c r="J47" s="731"/>
      <c r="K47" s="731"/>
      <c r="L47" s="754" t="s">
        <v>407</v>
      </c>
      <c r="P47" s="1298">
        <v>1</v>
      </c>
      <c r="Q47" s="122"/>
      <c r="R47" s="208"/>
      <c r="S47" s="709" t="str">
        <f>$I47</f>
        <v>....1</v>
      </c>
      <c r="T47" s="164" t="s">
        <v>408</v>
      </c>
      <c r="U47" s="171"/>
      <c r="V47" s="1282"/>
      <c r="W47" s="1283"/>
      <c r="X47" s="1283"/>
      <c r="Y47" s="1283"/>
      <c r="Z47" s="1283"/>
      <c r="AA47" s="1283"/>
      <c r="AB47" s="1283"/>
      <c r="AC47" s="1284"/>
      <c r="AD47" s="1282"/>
      <c r="AE47" s="1283"/>
      <c r="AF47" s="1283"/>
      <c r="AG47" s="1283"/>
      <c r="AH47" s="1283"/>
      <c r="AI47" s="1283"/>
      <c r="AJ47" s="1283"/>
      <c r="AK47" s="1283"/>
      <c r="AL47" s="1284"/>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211</v>
      </c>
      <c r="B48" s="731" t="s">
        <v>212</v>
      </c>
      <c r="C48" s="731" t="s">
        <v>213</v>
      </c>
      <c r="D48" s="731" t="s">
        <v>214</v>
      </c>
      <c r="E48" s="1321"/>
      <c r="F48" s="1321"/>
      <c r="G48" s="1321"/>
      <c r="H48" s="1321"/>
      <c r="I48" s="1140"/>
      <c r="J48" s="1158" t="str">
        <f>I47&amp;".1"</f>
        <v>....1.1</v>
      </c>
      <c r="K48" s="731"/>
      <c r="L48" s="754" t="s">
        <v>410</v>
      </c>
      <c r="P48" s="1298"/>
      <c r="Q48" s="1298">
        <v>1</v>
      </c>
      <c r="R48" s="209"/>
      <c r="S48" s="709" t="str">
        <f>$J48</f>
        <v>....1.1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31" t="s">
        <v>211</v>
      </c>
      <c r="B49" s="731" t="s">
        <v>212</v>
      </c>
      <c r="C49" s="731" t="s">
        <v>213</v>
      </c>
      <c r="D49" s="731" t="s">
        <v>214</v>
      </c>
      <c r="E49" s="1321"/>
      <c r="F49" s="1321"/>
      <c r="G49" s="1321"/>
      <c r="H49" s="1321"/>
      <c r="I49" s="1140"/>
      <c r="J49" s="1140"/>
      <c r="K49" s="1158" t="str">
        <f>J48&amp;".1"</f>
        <v>....1.1.1</v>
      </c>
      <c r="L49" s="754" t="s">
        <v>413</v>
      </c>
      <c r="P49" s="1298"/>
      <c r="Q49" s="1298"/>
      <c r="R49" s="209">
        <v>1</v>
      </c>
      <c r="S49" s="709" t="str">
        <f>$K49</f>
        <v>....1.1.1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414</v>
      </c>
      <c r="AN49" s="68" t="e">
        <f ca="1">STRCHECKDATE(V50:AL50)</f>
        <v>#NAME?</v>
      </c>
      <c r="AO49" s="69"/>
      <c r="AP49" s="69" t="str">
        <f t="shared" si="1"/>
        <v/>
      </c>
      <c r="AQ49" s="69"/>
      <c r="AR49" s="69"/>
      <c r="AS49" s="11">
        <v>21</v>
      </c>
    </row>
    <row r="50" spans="1:45" ht="1.05" customHeight="1">
      <c r="A50" s="731" t="s">
        <v>211</v>
      </c>
      <c r="B50" s="731" t="s">
        <v>212</v>
      </c>
      <c r="C50" s="731" t="s">
        <v>213</v>
      </c>
      <c r="D50" s="731" t="s">
        <v>214</v>
      </c>
      <c r="E50" s="1321"/>
      <c r="F50" s="1321"/>
      <c r="G50" s="1321"/>
      <c r="H50" s="1321"/>
      <c r="I50" s="1140"/>
      <c r="J50" s="1140"/>
      <c r="K50" s="1158"/>
      <c r="L50" s="754"/>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31" t="s">
        <v>211</v>
      </c>
      <c r="B51" s="731" t="s">
        <v>212</v>
      </c>
      <c r="C51" s="731" t="s">
        <v>213</v>
      </c>
      <c r="D51" s="731" t="s">
        <v>214</v>
      </c>
      <c r="E51" s="1321"/>
      <c r="F51" s="1321"/>
      <c r="G51" s="1321"/>
      <c r="H51" s="1321"/>
      <c r="I51" s="1140"/>
      <c r="J51" s="1158"/>
      <c r="K51" s="731"/>
      <c r="L51" s="754"/>
      <c r="P51" s="1298"/>
      <c r="Q51" s="1298"/>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31" t="s">
        <v>211</v>
      </c>
      <c r="B52" s="731" t="s">
        <v>212</v>
      </c>
      <c r="C52" s="731" t="s">
        <v>213</v>
      </c>
      <c r="D52" s="731" t="s">
        <v>214</v>
      </c>
      <c r="E52" s="1321"/>
      <c r="F52" s="1321"/>
      <c r="G52" s="1321"/>
      <c r="H52" s="1321"/>
      <c r="I52" s="1158"/>
      <c r="J52" s="731"/>
      <c r="K52" s="731"/>
      <c r="L52" s="754"/>
      <c r="P52" s="1298"/>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7" customHeight="1">
      <c r="A53" s="731" t="s">
        <v>211</v>
      </c>
      <c r="B53" s="731" t="s">
        <v>212</v>
      </c>
      <c r="C53" s="731" t="s">
        <v>213</v>
      </c>
      <c r="D53" s="731" t="s">
        <v>214</v>
      </c>
      <c r="E53" s="1321"/>
      <c r="F53" s="1321"/>
      <c r="G53" s="1321"/>
      <c r="H53" s="1320"/>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2" customHeight="1">
      <c r="A54" s="774" t="s">
        <v>211</v>
      </c>
      <c r="B54" s="774" t="s">
        <v>212</v>
      </c>
      <c r="C54" s="774" t="s">
        <v>213</v>
      </c>
      <c r="D54" s="774"/>
      <c r="E54" s="1321"/>
      <c r="F54" s="1321"/>
      <c r="G54" s="1320"/>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2" customHeight="1">
      <c r="A55" s="774" t="s">
        <v>211</v>
      </c>
      <c r="B55" s="774" t="s">
        <v>212</v>
      </c>
      <c r="C55" s="774"/>
      <c r="D55" s="774"/>
      <c r="E55" s="1321"/>
      <c r="F55" s="1320"/>
      <c r="G55" s="774"/>
      <c r="H55" s="774"/>
      <c r="I55" s="774"/>
      <c r="J55" s="774"/>
      <c r="K55" s="774"/>
      <c r="L55" s="775"/>
      <c r="M55" s="777"/>
      <c r="N55" s="777"/>
      <c r="O55" s="203"/>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2" customHeight="1">
      <c r="A56" s="774" t="s">
        <v>211</v>
      </c>
      <c r="B56" s="774"/>
      <c r="C56" s="774"/>
      <c r="D56" s="774"/>
      <c r="E56" s="1320"/>
      <c r="F56" s="774"/>
      <c r="G56" s="774"/>
      <c r="H56" s="774"/>
      <c r="I56" s="774"/>
      <c r="J56" s="774"/>
      <c r="K56" s="774"/>
      <c r="L56" s="775"/>
      <c r="M56" s="777"/>
      <c r="N56" s="777"/>
      <c r="O56" s="203"/>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2" customHeight="1">
      <c r="A57" s="774"/>
      <c r="B57" s="774"/>
      <c r="C57" s="774"/>
      <c r="D57" s="774"/>
      <c r="E57" s="774"/>
      <c r="F57" s="774"/>
      <c r="G57" s="774"/>
      <c r="H57" s="774"/>
      <c r="I57" s="774"/>
      <c r="J57" s="774"/>
      <c r="K57" s="774"/>
      <c r="L57" s="775"/>
      <c r="M57" s="777"/>
      <c r="N57" s="777"/>
      <c r="O57" s="203"/>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11"/>
      <c r="N58" s="11"/>
      <c r="O58" s="11"/>
      <c r="P58" s="11"/>
      <c r="Q58" s="11"/>
      <c r="R58" s="11"/>
      <c r="S58" s="11"/>
      <c r="AN58" s="11"/>
      <c r="AO58" s="11"/>
      <c r="AP58" s="11"/>
      <c r="AQ58" s="11"/>
      <c r="AR58" s="11"/>
      <c r="AS58" s="11">
        <v>11</v>
      </c>
    </row>
    <row r="59" spans="1:45" ht="28.5" customHeight="1">
      <c r="O59" s="11"/>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27</v>
      </c>
    </row>
    <row r="60" spans="1:45" ht="65.25" customHeight="1">
      <c r="O60" s="11"/>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62</v>
      </c>
    </row>
    <row r="61" spans="1:45" ht="14.7" customHeight="1">
      <c r="O61" s="11"/>
      <c r="AS61" s="11">
        <v>14</v>
      </c>
    </row>
    <row r="62" spans="1:45" ht="18.75" customHeight="1">
      <c r="O62" s="11"/>
      <c r="S62" s="198"/>
      <c r="T62" s="1293"/>
      <c r="U62" s="1293"/>
      <c r="V62" s="1293"/>
      <c r="W62" s="1293"/>
      <c r="X62" s="1293"/>
      <c r="Y62" s="1293"/>
      <c r="Z62" s="1293"/>
      <c r="AA62" s="1293"/>
      <c r="AB62" s="1293"/>
      <c r="AC62" s="1293"/>
      <c r="AD62" s="1293"/>
      <c r="AE62" s="1293"/>
      <c r="AF62" s="1293"/>
      <c r="AG62" s="1293"/>
      <c r="AH62" s="1293"/>
      <c r="AI62" s="1293"/>
      <c r="AJ62" s="1293"/>
      <c r="AK62" s="1293"/>
      <c r="AL62" s="1293"/>
      <c r="AM62" s="1293"/>
      <c r="AS62" s="11">
        <v>18</v>
      </c>
    </row>
    <row r="63" spans="1:45" ht="18.75" customHeight="1">
      <c r="O63" s="11"/>
      <c r="T63" s="1293"/>
      <c r="U63" s="1293"/>
      <c r="V63" s="1293"/>
      <c r="W63" s="1293"/>
      <c r="X63" s="1293"/>
      <c r="Y63" s="1293"/>
      <c r="Z63" s="1293"/>
      <c r="AA63" s="1293"/>
      <c r="AB63" s="1293"/>
      <c r="AC63" s="1293"/>
      <c r="AD63" s="1293"/>
      <c r="AE63" s="1293"/>
      <c r="AF63" s="1293"/>
      <c r="AG63" s="1293"/>
      <c r="AH63" s="1293"/>
      <c r="AI63" s="1293"/>
      <c r="AJ63" s="1293"/>
      <c r="AK63" s="1293"/>
      <c r="AL63" s="1293"/>
      <c r="AM63" s="1293"/>
      <c r="AS63" s="11">
        <v>18</v>
      </c>
    </row>
    <row r="64" spans="1:45" ht="29.25" customHeight="1">
      <c r="O64" s="11"/>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1" hidden="1"/>
    <col min="2" max="2" width="11" style="11" hidden="1" customWidth="1"/>
    <col min="3" max="3" width="10.625" style="11" hidden="1"/>
    <col min="4" max="4" width="11.875" style="11" hidden="1" customWidth="1"/>
    <col min="5" max="5" width="10" style="11" hidden="1" customWidth="1"/>
    <col min="6" max="6" width="8.75" style="11" hidden="1" customWidth="1"/>
    <col min="7" max="7" width="7.625" style="11" hidden="1" customWidth="1"/>
    <col min="8" max="8" width="11.375" style="11" hidden="1" customWidth="1"/>
    <col min="9" max="9" width="12" style="11" hidden="1" customWidth="1"/>
    <col min="10" max="10" width="9.875" style="11" hidden="1" customWidth="1"/>
    <col min="11" max="11" width="11.375" style="11" hidden="1" customWidth="1"/>
    <col min="12" max="12" width="19.125" style="58" hidden="1" customWidth="1"/>
    <col min="13" max="14" width="12.25" style="33" hidden="1" customWidth="1"/>
    <col min="15" max="15" width="23.375" style="33" hidden="1" customWidth="1"/>
    <col min="16" max="16" width="3" style="33"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31"/>
      <c r="B2" s="731"/>
      <c r="C2" s="731"/>
      <c r="D2" s="731"/>
      <c r="E2" s="1320">
        <v>1</v>
      </c>
      <c r="F2" s="731"/>
      <c r="G2" s="731"/>
      <c r="H2" s="731"/>
      <c r="I2" s="731"/>
      <c r="J2" s="731"/>
      <c r="K2" s="731"/>
      <c r="L2" s="754"/>
      <c r="M2" s="342"/>
      <c r="N2" s="342"/>
      <c r="O2" s="342"/>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31"/>
      <c r="B3" s="731"/>
      <c r="C3" s="731"/>
      <c r="D3" s="731"/>
      <c r="E3" s="1321"/>
      <c r="F3" s="1320">
        <v>1</v>
      </c>
      <c r="G3" s="731"/>
      <c r="H3" s="731"/>
      <c r="I3" s="731"/>
      <c r="J3" s="731"/>
      <c r="K3" s="731"/>
      <c r="L3" s="754"/>
      <c r="M3" s="342"/>
      <c r="N3" s="342"/>
      <c r="O3" s="342"/>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31"/>
      <c r="B4" s="731"/>
      <c r="C4" s="731"/>
      <c r="D4" s="731"/>
      <c r="E4" s="1321"/>
      <c r="F4" s="1321"/>
      <c r="G4" s="1320">
        <v>1</v>
      </c>
      <c r="H4" s="731"/>
      <c r="I4" s="731"/>
      <c r="J4" s="731"/>
      <c r="K4" s="731"/>
      <c r="L4" s="754"/>
      <c r="M4" s="342"/>
      <c r="N4" s="342"/>
      <c r="O4" s="342"/>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1"/>
      <c r="F5" s="1321"/>
      <c r="G5" s="1321"/>
      <c r="H5" s="1320">
        <v>1</v>
      </c>
      <c r="I5" s="731"/>
      <c r="J5" s="731"/>
      <c r="K5" s="731"/>
      <c r="L5" s="754"/>
      <c r="M5" s="342"/>
      <c r="N5" s="342"/>
      <c r="O5" s="342"/>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47.25" hidden="1" customHeight="1">
      <c r="A6" s="731"/>
      <c r="B6" s="731"/>
      <c r="C6" s="731"/>
      <c r="D6" s="731"/>
      <c r="E6" s="1321"/>
      <c r="F6" s="1321"/>
      <c r="G6" s="1321"/>
      <c r="H6" s="1321"/>
      <c r="I6" s="1158" t="e">
        <f>S5&amp;".1"</f>
        <v>#N/A</v>
      </c>
      <c r="J6" s="731"/>
      <c r="K6" s="731"/>
      <c r="L6" s="754" t="s">
        <v>407</v>
      </c>
      <c r="M6" s="11"/>
      <c r="P6" s="1298">
        <v>1</v>
      </c>
      <c r="Q6" s="122"/>
      <c r="R6" s="208"/>
      <c r="S6" s="709" t="e">
        <f>$I6</f>
        <v>#N/A</v>
      </c>
      <c r="T6" s="164" t="s">
        <v>408</v>
      </c>
      <c r="U6" s="171"/>
      <c r="V6" s="1282"/>
      <c r="W6" s="1283"/>
      <c r="X6" s="1283"/>
      <c r="Y6" s="1283"/>
      <c r="Z6" s="1283"/>
      <c r="AA6" s="1283"/>
      <c r="AB6" s="1283"/>
      <c r="AC6" s="1284"/>
      <c r="AD6" s="1282"/>
      <c r="AE6" s="1283"/>
      <c r="AF6" s="1283"/>
      <c r="AG6" s="1283"/>
      <c r="AH6" s="1283"/>
      <c r="AI6" s="1283"/>
      <c r="AJ6" s="1283"/>
      <c r="AK6" s="1283"/>
      <c r="AL6" s="1284"/>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1"/>
      <c r="F7" s="1321"/>
      <c r="G7" s="1321"/>
      <c r="H7" s="1321"/>
      <c r="I7" s="1140"/>
      <c r="J7" s="1158" t="e">
        <f>I6&amp;".1"</f>
        <v>#N/A</v>
      </c>
      <c r="K7" s="731"/>
      <c r="L7" s="754" t="s">
        <v>410</v>
      </c>
      <c r="M7" s="11"/>
      <c r="N7" s="11"/>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31"/>
      <c r="B8" s="731"/>
      <c r="C8" s="731"/>
      <c r="D8" s="731"/>
      <c r="E8" s="1321"/>
      <c r="F8" s="1321"/>
      <c r="G8" s="1321"/>
      <c r="H8" s="1321"/>
      <c r="I8" s="1140"/>
      <c r="J8" s="1140"/>
      <c r="K8" s="1158" t="e">
        <f>J7&amp;".1"</f>
        <v>#N/A</v>
      </c>
      <c r="L8" s="754" t="s">
        <v>413</v>
      </c>
      <c r="M8" s="11"/>
      <c r="N8" s="11"/>
      <c r="O8" s="11"/>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31"/>
      <c r="B9" s="731"/>
      <c r="C9" s="731"/>
      <c r="D9" s="731"/>
      <c r="E9" s="1321"/>
      <c r="F9" s="1321"/>
      <c r="G9" s="1321"/>
      <c r="H9" s="1321"/>
      <c r="I9" s="1140"/>
      <c r="J9" s="1140"/>
      <c r="K9" s="1158"/>
      <c r="L9" s="754"/>
      <c r="M9" s="11"/>
      <c r="N9" s="11"/>
      <c r="O9" s="11"/>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31"/>
      <c r="B10" s="731"/>
      <c r="C10" s="731"/>
      <c r="D10" s="731"/>
      <c r="E10" s="1321"/>
      <c r="F10" s="1321"/>
      <c r="G10" s="1321"/>
      <c r="H10" s="1321"/>
      <c r="I10" s="1140"/>
      <c r="J10" s="1158"/>
      <c r="K10" s="731"/>
      <c r="L10" s="754"/>
      <c r="M10" s="11"/>
      <c r="N10" s="11"/>
      <c r="P10" s="1298"/>
      <c r="Q10" s="1298"/>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1"/>
      <c r="F11" s="1321"/>
      <c r="G11" s="1321"/>
      <c r="H11" s="1321"/>
      <c r="I11" s="1158"/>
      <c r="J11" s="731"/>
      <c r="K11" s="731"/>
      <c r="L11" s="754"/>
      <c r="M11" s="11"/>
      <c r="P11" s="1298"/>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1"/>
      <c r="F12" s="1321"/>
      <c r="G12" s="1321"/>
      <c r="H12" s="1320"/>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1"/>
      <c r="F13" s="1321"/>
      <c r="G13" s="1320"/>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1"/>
      <c r="F14" s="1320"/>
      <c r="G14" s="731"/>
      <c r="H14" s="731"/>
      <c r="I14" s="731"/>
      <c r="J14" s="731"/>
      <c r="K14" s="731"/>
      <c r="L14" s="754"/>
      <c r="M14" s="1050"/>
      <c r="N14" s="1050"/>
      <c r="O14" s="11"/>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0"/>
      <c r="F15" s="731"/>
      <c r="G15" s="731"/>
      <c r="H15" s="731"/>
      <c r="I15" s="731"/>
      <c r="J15" s="731"/>
      <c r="K15" s="731"/>
      <c r="L15" s="754"/>
      <c r="M15" s="1050"/>
      <c r="N15" s="1050"/>
      <c r="O15" s="11"/>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7" customHeight="1">
      <c r="Q25" s="28"/>
      <c r="R25" s="28"/>
      <c r="S25" s="739"/>
      <c r="T25" s="10"/>
      <c r="U25" s="10"/>
      <c r="AS25" s="11">
        <v>14</v>
      </c>
    </row>
    <row r="26" spans="1:45" ht="14.7" customHeight="1">
      <c r="Q26" s="28"/>
      <c r="R26" s="28"/>
      <c r="S26" s="12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5"/>
      <c r="U26" s="1275"/>
      <c r="V26" s="1275"/>
      <c r="W26" s="1275"/>
      <c r="X26" s="1275"/>
      <c r="Y26" s="1275"/>
      <c r="Z26" s="1275"/>
      <c r="AA26" s="1275"/>
      <c r="AB26" s="1275"/>
      <c r="AC26" s="1275"/>
      <c r="AD26" s="1275"/>
      <c r="AE26" s="1275"/>
      <c r="AF26" s="1275"/>
      <c r="AG26" s="1275"/>
      <c r="AH26" s="1275"/>
      <c r="AI26" s="1275"/>
      <c r="AJ26" s="1275"/>
      <c r="AK26" s="59"/>
      <c r="AS26" s="11">
        <v>14</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t="s">
        <v>436</v>
      </c>
      <c r="X40" s="1140" t="s">
        <v>437</v>
      </c>
      <c r="Y40" s="1139"/>
      <c r="Z40" s="1140" t="s">
        <v>450</v>
      </c>
      <c r="AA40" s="1145"/>
      <c r="AB40" s="1139"/>
      <c r="AC40" s="1312"/>
      <c r="AD40" s="1227" t="s">
        <v>435</v>
      </c>
      <c r="AE40" s="1303" t="s">
        <v>436</v>
      </c>
      <c r="AF40" s="1140" t="s">
        <v>437</v>
      </c>
      <c r="AG40" s="1139"/>
      <c r="AH40" s="1140" t="s">
        <v>438</v>
      </c>
      <c r="AI40" s="1145"/>
      <c r="AJ40" s="1139"/>
      <c r="AK40" s="1312"/>
      <c r="AL40" s="1315"/>
      <c r="AM40" s="1158"/>
      <c r="AS40" s="11">
        <v>34</v>
      </c>
    </row>
    <row r="41" spans="1:45" ht="35.700000000000003"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31" t="s">
        <v>211</v>
      </c>
      <c r="B43" s="731"/>
      <c r="C43" s="731"/>
      <c r="D43" s="731"/>
      <c r="E43" s="1320">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31" t="s">
        <v>211</v>
      </c>
      <c r="B44" s="731" t="s">
        <v>212</v>
      </c>
      <c r="C44" s="731"/>
      <c r="D44" s="731"/>
      <c r="E44" s="1321"/>
      <c r="F44" s="1320">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1"/>
      <c r="F45" s="1321"/>
      <c r="G45" s="1320">
        <v>1</v>
      </c>
      <c r="H45" s="731"/>
      <c r="I45" s="731"/>
      <c r="J45" s="731"/>
      <c r="K45" s="731"/>
      <c r="L45" s="754"/>
      <c r="M45" s="342"/>
      <c r="N45" s="342"/>
      <c r="O45" s="342"/>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31" t="s">
        <v>211</v>
      </c>
      <c r="B46" s="731" t="s">
        <v>212</v>
      </c>
      <c r="C46" s="731" t="s">
        <v>213</v>
      </c>
      <c r="D46" s="731" t="s">
        <v>214</v>
      </c>
      <c r="E46" s="1321"/>
      <c r="F46" s="1321"/>
      <c r="G46" s="1321"/>
      <c r="H46" s="1320">
        <v>1</v>
      </c>
      <c r="I46" s="731"/>
      <c r="J46" s="731"/>
      <c r="K46" s="731"/>
      <c r="L46" s="754"/>
      <c r="M46" s="342"/>
      <c r="N46" s="342"/>
      <c r="O46" s="342"/>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1"/>
      <c r="F47" s="1321"/>
      <c r="G47" s="1321"/>
      <c r="H47" s="1321"/>
      <c r="I47" s="1158" t="str">
        <f>S46&amp;".1"</f>
        <v>....1</v>
      </c>
      <c r="J47" s="731"/>
      <c r="K47" s="731"/>
      <c r="L47" s="754" t="s">
        <v>407</v>
      </c>
      <c r="P47" s="1298">
        <v>1</v>
      </c>
      <c r="Q47" s="122"/>
      <c r="R47" s="208"/>
      <c r="S47" s="709" t="str">
        <f>$I47</f>
        <v>....1</v>
      </c>
      <c r="T47" s="164" t="s">
        <v>408</v>
      </c>
      <c r="U47" s="171"/>
      <c r="V47" s="1282"/>
      <c r="W47" s="1283"/>
      <c r="X47" s="1283"/>
      <c r="Y47" s="1283"/>
      <c r="Z47" s="1283"/>
      <c r="AA47" s="1283"/>
      <c r="AB47" s="1283"/>
      <c r="AC47" s="1284"/>
      <c r="AD47" s="1282"/>
      <c r="AE47" s="1283"/>
      <c r="AF47" s="1283"/>
      <c r="AG47" s="1283"/>
      <c r="AH47" s="1283"/>
      <c r="AI47" s="1283"/>
      <c r="AJ47" s="1283"/>
      <c r="AK47" s="1283"/>
      <c r="AL47" s="1284"/>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211</v>
      </c>
      <c r="B48" s="731" t="s">
        <v>212</v>
      </c>
      <c r="C48" s="731" t="s">
        <v>213</v>
      </c>
      <c r="D48" s="731" t="s">
        <v>214</v>
      </c>
      <c r="E48" s="1321"/>
      <c r="F48" s="1321"/>
      <c r="G48" s="1321"/>
      <c r="H48" s="1321"/>
      <c r="I48" s="1140"/>
      <c r="J48" s="1158" t="str">
        <f>I47&amp;".1"</f>
        <v>....1.1</v>
      </c>
      <c r="K48" s="731"/>
      <c r="L48" s="754" t="s">
        <v>410</v>
      </c>
      <c r="P48" s="1298"/>
      <c r="Q48" s="1298">
        <v>1</v>
      </c>
      <c r="R48" s="209"/>
      <c r="S48" s="709" t="str">
        <f>$J48</f>
        <v>....1.1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31" t="s">
        <v>211</v>
      </c>
      <c r="B49" s="731" t="s">
        <v>212</v>
      </c>
      <c r="C49" s="731" t="s">
        <v>213</v>
      </c>
      <c r="D49" s="731" t="s">
        <v>214</v>
      </c>
      <c r="E49" s="1321"/>
      <c r="F49" s="1321"/>
      <c r="G49" s="1321"/>
      <c r="H49" s="1321"/>
      <c r="I49" s="1140"/>
      <c r="J49" s="1140"/>
      <c r="K49" s="1158" t="str">
        <f>J48&amp;".1"</f>
        <v>....1.1.1</v>
      </c>
      <c r="L49" s="754" t="s">
        <v>413</v>
      </c>
      <c r="P49" s="1298"/>
      <c r="Q49" s="1298"/>
      <c r="R49" s="209">
        <v>1</v>
      </c>
      <c r="S49" s="709" t="str">
        <f>$K49</f>
        <v>....1.1.1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414</v>
      </c>
      <c r="AN49" s="68" t="e">
        <f ca="1">STRCHECKDATE(V50:AL50)</f>
        <v>#NAME?</v>
      </c>
      <c r="AO49" s="69"/>
      <c r="AP49" s="69" t="str">
        <f t="shared" si="1"/>
        <v/>
      </c>
      <c r="AQ49" s="69"/>
      <c r="AR49" s="69"/>
      <c r="AS49" s="11">
        <v>21</v>
      </c>
    </row>
    <row r="50" spans="1:45" ht="1.05" customHeight="1">
      <c r="A50" s="731" t="s">
        <v>211</v>
      </c>
      <c r="B50" s="731" t="s">
        <v>212</v>
      </c>
      <c r="C50" s="731" t="s">
        <v>213</v>
      </c>
      <c r="D50" s="731" t="s">
        <v>214</v>
      </c>
      <c r="E50" s="1321"/>
      <c r="F50" s="1321"/>
      <c r="G50" s="1321"/>
      <c r="H50" s="1321"/>
      <c r="I50" s="1140"/>
      <c r="J50" s="1140"/>
      <c r="K50" s="1158"/>
      <c r="L50" s="754"/>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31" t="s">
        <v>211</v>
      </c>
      <c r="B51" s="731" t="s">
        <v>212</v>
      </c>
      <c r="C51" s="731" t="s">
        <v>213</v>
      </c>
      <c r="D51" s="731" t="s">
        <v>214</v>
      </c>
      <c r="E51" s="1321"/>
      <c r="F51" s="1321"/>
      <c r="G51" s="1321"/>
      <c r="H51" s="1321"/>
      <c r="I51" s="1140"/>
      <c r="J51" s="1158"/>
      <c r="K51" s="731"/>
      <c r="L51" s="754"/>
      <c r="P51" s="1298"/>
      <c r="Q51" s="1298"/>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31" t="s">
        <v>211</v>
      </c>
      <c r="B52" s="731" t="s">
        <v>212</v>
      </c>
      <c r="C52" s="731" t="s">
        <v>213</v>
      </c>
      <c r="D52" s="731" t="s">
        <v>214</v>
      </c>
      <c r="E52" s="1321"/>
      <c r="F52" s="1321"/>
      <c r="G52" s="1321"/>
      <c r="H52" s="1321"/>
      <c r="I52" s="1158"/>
      <c r="J52" s="731"/>
      <c r="K52" s="731"/>
      <c r="L52" s="754"/>
      <c r="P52" s="1298"/>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7" customHeight="1">
      <c r="A53" s="731" t="s">
        <v>211</v>
      </c>
      <c r="B53" s="731" t="s">
        <v>212</v>
      </c>
      <c r="C53" s="731" t="s">
        <v>213</v>
      </c>
      <c r="D53" s="731" t="s">
        <v>214</v>
      </c>
      <c r="E53" s="1321"/>
      <c r="F53" s="1321"/>
      <c r="G53" s="1321"/>
      <c r="H53" s="1320"/>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731" t="s">
        <v>211</v>
      </c>
      <c r="B54" s="731" t="s">
        <v>212</v>
      </c>
      <c r="C54" s="731" t="s">
        <v>213</v>
      </c>
      <c r="D54" s="731"/>
      <c r="E54" s="1321"/>
      <c r="F54" s="1321"/>
      <c r="G54" s="1320"/>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731" t="s">
        <v>211</v>
      </c>
      <c r="B55" s="731" t="s">
        <v>212</v>
      </c>
      <c r="C55" s="731"/>
      <c r="D55" s="731"/>
      <c r="E55" s="1321"/>
      <c r="F55" s="1320"/>
      <c r="G55" s="731"/>
      <c r="H55" s="731"/>
      <c r="I55" s="731"/>
      <c r="J55" s="731"/>
      <c r="K55" s="731"/>
      <c r="L55" s="754"/>
      <c r="M55" s="1050"/>
      <c r="N55" s="1050"/>
      <c r="O55" s="11"/>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731" t="s">
        <v>211</v>
      </c>
      <c r="B56" s="731"/>
      <c r="C56" s="731"/>
      <c r="D56" s="731"/>
      <c r="E56" s="1320"/>
      <c r="F56" s="731"/>
      <c r="G56" s="731"/>
      <c r="H56" s="731"/>
      <c r="I56" s="731"/>
      <c r="J56" s="731"/>
      <c r="K56" s="731"/>
      <c r="L56" s="754"/>
      <c r="M56" s="1050"/>
      <c r="N56" s="1050"/>
      <c r="O56" s="11"/>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731"/>
      <c r="B57" s="731"/>
      <c r="C57" s="731"/>
      <c r="D57" s="731"/>
      <c r="E57" s="731"/>
      <c r="F57" s="731"/>
      <c r="G57" s="731"/>
      <c r="H57" s="731"/>
      <c r="I57" s="731"/>
      <c r="J57" s="731"/>
      <c r="K57" s="731"/>
      <c r="L57" s="754"/>
      <c r="M57" s="1050"/>
      <c r="N57" s="1050"/>
      <c r="O57" s="11"/>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11"/>
      <c r="N58" s="11"/>
      <c r="O58" s="11"/>
      <c r="P58" s="11"/>
      <c r="Q58" s="11"/>
      <c r="R58" s="11"/>
      <c r="S58" s="11"/>
      <c r="AN58" s="11"/>
      <c r="AO58" s="11"/>
      <c r="AP58" s="11"/>
      <c r="AQ58" s="11"/>
      <c r="AR58" s="11"/>
      <c r="AS58" s="11">
        <v>11</v>
      </c>
    </row>
    <row r="59" spans="1:45" ht="28.5" customHeight="1">
      <c r="O59" s="11"/>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27</v>
      </c>
    </row>
    <row r="60" spans="1:45" ht="65.25" customHeight="1">
      <c r="O60" s="11"/>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62</v>
      </c>
    </row>
    <row r="61" spans="1:45" ht="14.7" customHeight="1">
      <c r="O61" s="11"/>
      <c r="AS61" s="11">
        <v>14</v>
      </c>
    </row>
    <row r="62" spans="1:45" ht="18.75" customHeight="1">
      <c r="O62" s="11"/>
      <c r="S62" s="198"/>
      <c r="T62" s="1293"/>
      <c r="U62" s="1293"/>
      <c r="V62" s="1293"/>
      <c r="W62" s="1293"/>
      <c r="X62" s="1293"/>
      <c r="Y62" s="1293"/>
      <c r="Z62" s="1293"/>
      <c r="AA62" s="1293"/>
      <c r="AB62" s="1293"/>
      <c r="AC62" s="1293"/>
      <c r="AD62" s="1293"/>
      <c r="AE62" s="1293"/>
      <c r="AF62" s="1293"/>
      <c r="AG62" s="1293"/>
      <c r="AH62" s="1293"/>
      <c r="AI62" s="1293"/>
      <c r="AJ62" s="1293"/>
      <c r="AK62" s="1293"/>
      <c r="AL62" s="1293"/>
      <c r="AM62" s="1293"/>
      <c r="AS62" s="11">
        <v>18</v>
      </c>
    </row>
    <row r="63" spans="1:45" ht="18.75" customHeight="1">
      <c r="O63" s="11"/>
      <c r="T63" s="1293"/>
      <c r="U63" s="1293"/>
      <c r="V63" s="1293"/>
      <c r="W63" s="1293"/>
      <c r="X63" s="1293"/>
      <c r="Y63" s="1293"/>
      <c r="Z63" s="1293"/>
      <c r="AA63" s="1293"/>
      <c r="AB63" s="1293"/>
      <c r="AC63" s="1293"/>
      <c r="AD63" s="1293"/>
      <c r="AE63" s="1293"/>
      <c r="AF63" s="1293"/>
      <c r="AG63" s="1293"/>
      <c r="AH63" s="1293"/>
      <c r="AI63" s="1293"/>
      <c r="AJ63" s="1293"/>
      <c r="AK63" s="1293"/>
      <c r="AL63" s="1293"/>
      <c r="AM63" s="1293"/>
      <c r="AS63" s="11">
        <v>18</v>
      </c>
    </row>
    <row r="64" spans="1:45" ht="29.25" customHeight="1">
      <c r="O64" s="11"/>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1" style="11" customWidth="1"/>
    <col min="21" max="21" width="0.75" style="11" hidden="1" customWidth="1"/>
    <col min="22" max="22" width="1.75" style="11" hidden="1" customWidth="1"/>
    <col min="23" max="23" width="24.75" style="11" hidden="1" customWidth="1"/>
    <col min="24" max="25" width="0.125" style="11" hidden="1" customWidth="1"/>
    <col min="26" max="26" width="11.75" style="11" hidden="1" customWidth="1"/>
    <col min="27" max="27" width="3.75" style="11" hidden="1" customWidth="1"/>
    <col min="28" max="28" width="11.75" style="11" hidden="1" customWidth="1"/>
    <col min="29" max="29" width="8.625" style="11" hidden="1" customWidth="1"/>
    <col min="30" max="30" width="0.125" style="11" customWidth="1"/>
    <col min="31" max="31" width="24" style="11" customWidth="1"/>
    <col min="32" max="33" width="0.125"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47.25" hidden="1" customHeight="1">
      <c r="A6" s="769"/>
      <c r="B6" s="769"/>
      <c r="C6" s="769"/>
      <c r="D6" s="769"/>
      <c r="E6" s="1295"/>
      <c r="F6" s="1295"/>
      <c r="G6" s="1295"/>
      <c r="H6" s="1295"/>
      <c r="I6" s="1296" t="e">
        <f>S5&amp;".1"</f>
        <v>#N/A</v>
      </c>
      <c r="J6" s="769"/>
      <c r="K6" s="769"/>
      <c r="L6" s="770" t="s">
        <v>407</v>
      </c>
      <c r="M6" s="63"/>
      <c r="P6" s="1298">
        <v>1</v>
      </c>
      <c r="Q6" s="122"/>
      <c r="R6" s="208"/>
      <c r="S6" s="709" t="e">
        <f>$I6</f>
        <v>#N/A</v>
      </c>
      <c r="T6" s="164" t="s">
        <v>408</v>
      </c>
      <c r="U6" s="171"/>
      <c r="V6" s="1282"/>
      <c r="W6" s="1283"/>
      <c r="X6" s="1283"/>
      <c r="Y6" s="1283"/>
      <c r="Z6" s="1283"/>
      <c r="AA6" s="1283"/>
      <c r="AB6" s="1283"/>
      <c r="AC6" s="1284"/>
      <c r="AD6" s="1282"/>
      <c r="AE6" s="1283"/>
      <c r="AF6" s="1283"/>
      <c r="AG6" s="1283"/>
      <c r="AH6" s="1283"/>
      <c r="AI6" s="1283"/>
      <c r="AJ6" s="1283"/>
      <c r="AK6" s="1283"/>
      <c r="AL6" s="1284"/>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5"/>
      <c r="F7" s="1295"/>
      <c r="G7" s="1295"/>
      <c r="H7" s="1295"/>
      <c r="I7" s="1297"/>
      <c r="J7" s="1296" t="e">
        <f>I6&amp;".1"</f>
        <v>#N/A</v>
      </c>
      <c r="K7" s="769"/>
      <c r="L7" s="770" t="s">
        <v>410</v>
      </c>
      <c r="M7" s="63"/>
      <c r="N7" s="63"/>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69"/>
      <c r="B8" s="769"/>
      <c r="C8" s="769"/>
      <c r="D8" s="769"/>
      <c r="E8" s="1295"/>
      <c r="F8" s="1295"/>
      <c r="G8" s="1295"/>
      <c r="H8" s="1295"/>
      <c r="I8" s="1297"/>
      <c r="J8" s="1297"/>
      <c r="K8" s="1296" t="e">
        <f>J7&amp;".1"</f>
        <v>#N/A</v>
      </c>
      <c r="L8" s="770" t="s">
        <v>413</v>
      </c>
      <c r="M8" s="63"/>
      <c r="N8" s="63"/>
      <c r="O8" s="63"/>
      <c r="P8" s="1298"/>
      <c r="Q8" s="1298"/>
      <c r="R8" s="209">
        <v>1</v>
      </c>
      <c r="S8" s="709" t="e">
        <f>$K8</f>
        <v>#N/A</v>
      </c>
      <c r="T8" s="765"/>
      <c r="U8" s="171"/>
      <c r="V8" s="191"/>
      <c r="W8" s="306"/>
      <c r="X8" s="191"/>
      <c r="Y8" s="219"/>
      <c r="Z8" s="1299"/>
      <c r="AA8" s="1168" t="s">
        <v>67</v>
      </c>
      <c r="AB8" s="1299"/>
      <c r="AC8" s="1168" t="s">
        <v>67</v>
      </c>
      <c r="AD8" s="191"/>
      <c r="AE8" s="306"/>
      <c r="AF8" s="191"/>
      <c r="AG8" s="219"/>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69"/>
      <c r="B10" s="769"/>
      <c r="C10" s="769"/>
      <c r="D10" s="769"/>
      <c r="E10" s="1295"/>
      <c r="F10" s="1295"/>
      <c r="G10" s="1295"/>
      <c r="H10" s="1295"/>
      <c r="I10" s="1297"/>
      <c r="J10" s="1296"/>
      <c r="K10" s="769"/>
      <c r="L10" s="770"/>
      <c r="M10" s="63"/>
      <c r="N10" s="63"/>
      <c r="P10" s="1298"/>
      <c r="Q10" s="1298"/>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5"/>
      <c r="F11" s="1295"/>
      <c r="G11" s="1295"/>
      <c r="H11" s="1295"/>
      <c r="I11" s="1296"/>
      <c r="J11" s="769"/>
      <c r="K11" s="769"/>
      <c r="L11" s="770"/>
      <c r="M11" s="63"/>
      <c r="P11" s="1298"/>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5"/>
      <c r="F12" s="1295"/>
      <c r="G12" s="1295"/>
      <c r="H12" s="1294"/>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29.25" customHeight="1">
      <c r="Q26" s="28"/>
      <c r="R26" s="28"/>
      <c r="S26" s="127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5"/>
      <c r="U26" s="1275"/>
      <c r="V26" s="1275"/>
      <c r="W26" s="1275"/>
      <c r="X26" s="1275"/>
      <c r="Y26" s="1275"/>
      <c r="Z26" s="1275"/>
      <c r="AA26" s="1275"/>
      <c r="AB26" s="1275"/>
      <c r="AC26" s="1275"/>
      <c r="AD26" s="1275"/>
      <c r="AE26" s="1275"/>
      <c r="AF26" s="1275"/>
      <c r="AG26" s="1275"/>
      <c r="AH26" s="1275"/>
      <c r="AI26" s="1275"/>
      <c r="AJ26" s="1275"/>
      <c r="AK26" s="59"/>
      <c r="AS26" s="11">
        <v>28</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24"/>
      <c r="Y39" s="1324"/>
      <c r="Z39" s="1309"/>
      <c r="AA39" s="1309"/>
      <c r="AB39" s="1310"/>
      <c r="AC39" s="1311" t="s">
        <v>432</v>
      </c>
      <c r="AD39" s="1308" t="s">
        <v>431</v>
      </c>
      <c r="AE39" s="1309"/>
      <c r="AF39" s="1324"/>
      <c r="AG39" s="1324"/>
      <c r="AH39" s="1309"/>
      <c r="AI39" s="1309"/>
      <c r="AJ39" s="1310"/>
      <c r="AK39" s="1311" t="s">
        <v>433</v>
      </c>
      <c r="AL39" s="1314" t="s">
        <v>434</v>
      </c>
      <c r="AM39" s="1158"/>
      <c r="AS39" s="11">
        <v>14</v>
      </c>
    </row>
    <row r="40" spans="1:45" ht="24" customHeight="1">
      <c r="Q40" s="28"/>
      <c r="R40" s="28"/>
      <c r="S40" s="1307"/>
      <c r="T40" s="1255"/>
      <c r="U40" s="607"/>
      <c r="V40" s="1322" t="s">
        <v>435</v>
      </c>
      <c r="W40" s="1228" t="s">
        <v>436</v>
      </c>
      <c r="X40" s="317" t="s">
        <v>437</v>
      </c>
      <c r="Y40" s="317"/>
      <c r="Z40" s="1145" t="s">
        <v>438</v>
      </c>
      <c r="AA40" s="1145"/>
      <c r="AB40" s="1139"/>
      <c r="AC40" s="1312"/>
      <c r="AD40" s="1322" t="s">
        <v>435</v>
      </c>
      <c r="AE40" s="1228" t="s">
        <v>436</v>
      </c>
      <c r="AF40" s="317" t="s">
        <v>437</v>
      </c>
      <c r="AG40" s="317"/>
      <c r="AH40" s="1145" t="s">
        <v>438</v>
      </c>
      <c r="AI40" s="1145"/>
      <c r="AJ40" s="1139"/>
      <c r="AK40" s="1312"/>
      <c r="AL40" s="1315"/>
      <c r="AM40" s="1158"/>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307"/>
      <c r="T41" s="1255"/>
      <c r="U41" s="173"/>
      <c r="V41" s="1323"/>
      <c r="W41" s="1233"/>
      <c r="X41" s="316" t="s">
        <v>446</v>
      </c>
      <c r="Y41" s="316" t="s">
        <v>447</v>
      </c>
      <c r="Z41" s="763" t="s">
        <v>448</v>
      </c>
      <c r="AA41" s="1260" t="s">
        <v>449</v>
      </c>
      <c r="AB41" s="1274"/>
      <c r="AC41" s="1313"/>
      <c r="AD41" s="1323"/>
      <c r="AE41" s="1233"/>
      <c r="AF41" s="316" t="s">
        <v>446</v>
      </c>
      <c r="AG41" s="316" t="s">
        <v>447</v>
      </c>
      <c r="AH41" s="763" t="s">
        <v>448</v>
      </c>
      <c r="AI41" s="1260" t="s">
        <v>449</v>
      </c>
      <c r="AJ41" s="1274"/>
      <c r="AK41" s="1313"/>
      <c r="AL41" s="1316"/>
      <c r="AM41" s="1158"/>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305">
        <f ca="1">OFFSET(AA42,0,-1)+1</f>
        <v>4</v>
      </c>
      <c r="AB42" s="1305"/>
      <c r="AC42" s="727">
        <f ca="1">OFFSET(AC42,0,-2)+1</f>
        <v>5</v>
      </c>
      <c r="AD42" s="727">
        <f ca="1">OFFSET(AD42,0,-1)+1</f>
        <v>6</v>
      </c>
      <c r="AE42" s="727"/>
      <c r="AF42" s="286">
        <f ca="1">OFFSET(AF42,0,-1)+1</f>
        <v>1</v>
      </c>
      <c r="AG42" s="286">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69" t="s">
        <v>193</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69" t="s">
        <v>193</v>
      </c>
      <c r="B44" s="769" t="s">
        <v>194</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69" t="s">
        <v>193</v>
      </c>
      <c r="B46" s="769" t="s">
        <v>194</v>
      </c>
      <c r="C46" s="769" t="s">
        <v>195</v>
      </c>
      <c r="D46" s="769" t="s">
        <v>196</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95"/>
      <c r="F47" s="1295"/>
      <c r="G47" s="1295"/>
      <c r="H47" s="1295"/>
      <c r="I47" s="1296" t="str">
        <f>S46&amp;".1"</f>
        <v>....1</v>
      </c>
      <c r="J47" s="769"/>
      <c r="K47" s="769"/>
      <c r="L47" s="770" t="s">
        <v>407</v>
      </c>
      <c r="P47" s="1298">
        <v>1</v>
      </c>
      <c r="Q47" s="122"/>
      <c r="R47" s="208"/>
      <c r="S47" s="709" t="str">
        <f>$I47</f>
        <v>....1</v>
      </c>
      <c r="T47" s="164" t="s">
        <v>408</v>
      </c>
      <c r="U47" s="171"/>
      <c r="V47" s="1282"/>
      <c r="W47" s="1283"/>
      <c r="X47" s="1283"/>
      <c r="Y47" s="1283"/>
      <c r="Z47" s="1283"/>
      <c r="AA47" s="1283"/>
      <c r="AB47" s="1283"/>
      <c r="AC47" s="1284"/>
      <c r="AD47" s="1282"/>
      <c r="AE47" s="1283"/>
      <c r="AF47" s="1283"/>
      <c r="AG47" s="1283"/>
      <c r="AH47" s="1283"/>
      <c r="AI47" s="1283"/>
      <c r="AJ47" s="1283"/>
      <c r="AK47" s="1283"/>
      <c r="AL47" s="1284"/>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193</v>
      </c>
      <c r="B48" s="769" t="s">
        <v>194</v>
      </c>
      <c r="C48" s="769" t="s">
        <v>195</v>
      </c>
      <c r="D48" s="769" t="s">
        <v>196</v>
      </c>
      <c r="E48" s="1295"/>
      <c r="F48" s="1295"/>
      <c r="G48" s="1295"/>
      <c r="H48" s="1295"/>
      <c r="I48" s="1297"/>
      <c r="J48" s="1296" t="str">
        <f>I47&amp;".1"</f>
        <v>....1.1</v>
      </c>
      <c r="K48" s="769"/>
      <c r="L48" s="770" t="s">
        <v>410</v>
      </c>
      <c r="P48" s="1298"/>
      <c r="Q48" s="1298">
        <v>1</v>
      </c>
      <c r="R48" s="209"/>
      <c r="S48" s="709" t="str">
        <f>$J48</f>
        <v>....1.1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69" t="s">
        <v>193</v>
      </c>
      <c r="B49" s="769" t="s">
        <v>194</v>
      </c>
      <c r="C49" s="769" t="s">
        <v>195</v>
      </c>
      <c r="D49" s="769" t="s">
        <v>196</v>
      </c>
      <c r="E49" s="1295"/>
      <c r="F49" s="1295"/>
      <c r="G49" s="1295"/>
      <c r="H49" s="1295"/>
      <c r="I49" s="1297"/>
      <c r="J49" s="1297"/>
      <c r="K49" s="1296" t="str">
        <f>J48&amp;".1"</f>
        <v>....1.1.1</v>
      </c>
      <c r="L49" s="770" t="s">
        <v>413</v>
      </c>
      <c r="P49" s="1298"/>
      <c r="Q49" s="1298"/>
      <c r="R49" s="209">
        <v>1</v>
      </c>
      <c r="S49" s="709" t="str">
        <f>$K49</f>
        <v>....1.1.1</v>
      </c>
      <c r="T49" s="765"/>
      <c r="U49" s="171"/>
      <c r="V49" s="191"/>
      <c r="W49" s="306"/>
      <c r="X49" s="191"/>
      <c r="Y49" s="219"/>
      <c r="Z49" s="1299"/>
      <c r="AA49" s="1168" t="s">
        <v>67</v>
      </c>
      <c r="AB49" s="1299"/>
      <c r="AC49" s="1168" t="s">
        <v>67</v>
      </c>
      <c r="AD49" s="191"/>
      <c r="AE49" s="306"/>
      <c r="AF49" s="191"/>
      <c r="AG49" s="219"/>
      <c r="AH49" s="1299"/>
      <c r="AI49" s="1168" t="s">
        <v>67</v>
      </c>
      <c r="AJ49" s="1301"/>
      <c r="AK49" s="1168" t="s">
        <v>67</v>
      </c>
      <c r="AL49" s="766"/>
      <c r="AM49" s="1317" t="s">
        <v>414</v>
      </c>
      <c r="AN49" s="68" t="e">
        <f ca="1">STRCHECKDATE(V50:AL50)</f>
        <v>#NAME?</v>
      </c>
      <c r="AO49" s="69"/>
      <c r="AP49" s="69" t="str">
        <f t="shared" si="1"/>
        <v/>
      </c>
      <c r="AQ49" s="69"/>
      <c r="AR49" s="69"/>
      <c r="AS49" s="11">
        <v>21</v>
      </c>
    </row>
    <row r="50" spans="1:45" ht="1.05" customHeight="1">
      <c r="A50" s="769" t="s">
        <v>193</v>
      </c>
      <c r="B50" s="769" t="s">
        <v>194</v>
      </c>
      <c r="C50" s="769" t="s">
        <v>195</v>
      </c>
      <c r="D50" s="769" t="s">
        <v>196</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69" t="s">
        <v>193</v>
      </c>
      <c r="B51" s="769" t="s">
        <v>194</v>
      </c>
      <c r="C51" s="769" t="s">
        <v>195</v>
      </c>
      <c r="D51" s="769" t="s">
        <v>196</v>
      </c>
      <c r="E51" s="1295"/>
      <c r="F51" s="1295"/>
      <c r="G51" s="1295"/>
      <c r="H51" s="1295"/>
      <c r="I51" s="1297"/>
      <c r="J51" s="1296"/>
      <c r="K51" s="769"/>
      <c r="L51" s="770"/>
      <c r="P51" s="1298"/>
      <c r="Q51" s="1298"/>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193</v>
      </c>
      <c r="B52" s="769" t="s">
        <v>194</v>
      </c>
      <c r="C52" s="769" t="s">
        <v>195</v>
      </c>
      <c r="D52" s="769" t="s">
        <v>196</v>
      </c>
      <c r="E52" s="1295"/>
      <c r="F52" s="1295"/>
      <c r="G52" s="1295"/>
      <c r="H52" s="1295"/>
      <c r="I52" s="1296"/>
      <c r="J52" s="769"/>
      <c r="K52" s="769"/>
      <c r="L52" s="770"/>
      <c r="P52" s="1298"/>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7" customHeight="1">
      <c r="A53" s="769" t="s">
        <v>193</v>
      </c>
      <c r="B53" s="769" t="s">
        <v>194</v>
      </c>
      <c r="C53" s="769" t="s">
        <v>195</v>
      </c>
      <c r="D53" s="769" t="s">
        <v>196</v>
      </c>
      <c r="E53" s="1295"/>
      <c r="F53" s="1295"/>
      <c r="G53" s="1295"/>
      <c r="H53" s="1294"/>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193</v>
      </c>
      <c r="B54" s="145" t="s">
        <v>194</v>
      </c>
      <c r="C54" s="145" t="s">
        <v>195</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193</v>
      </c>
      <c r="B55" s="145" t="s">
        <v>194</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193</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27</v>
      </c>
    </row>
    <row r="60" spans="1:45" ht="78.75"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75</v>
      </c>
    </row>
    <row r="61" spans="1:45" ht="14.7" customHeight="1">
      <c r="O61" s="63"/>
      <c r="AS61" s="11">
        <v>14</v>
      </c>
    </row>
    <row r="62" spans="1:45" ht="18.75" customHeight="1">
      <c r="O62" s="63"/>
      <c r="S62" s="198"/>
      <c r="T62" s="1293"/>
      <c r="U62" s="1293"/>
      <c r="V62" s="1293"/>
      <c r="W62" s="1293"/>
      <c r="X62" s="1293"/>
      <c r="Y62" s="1293"/>
      <c r="Z62" s="1293"/>
      <c r="AA62" s="1293"/>
      <c r="AB62" s="1293"/>
      <c r="AC62" s="1293"/>
      <c r="AD62" s="1293"/>
      <c r="AE62" s="1293"/>
      <c r="AF62" s="1293"/>
      <c r="AG62" s="1293"/>
      <c r="AH62" s="1293"/>
      <c r="AI62" s="1293"/>
      <c r="AJ62" s="1293"/>
      <c r="AK62" s="1293"/>
      <c r="AL62" s="1293"/>
      <c r="AM62" s="1293"/>
      <c r="AS62" s="11">
        <v>18</v>
      </c>
    </row>
    <row r="63" spans="1:45" ht="18.75" customHeight="1">
      <c r="O63" s="63"/>
      <c r="T63" s="1293"/>
      <c r="U63" s="1293"/>
      <c r="V63" s="1293"/>
      <c r="W63" s="1293"/>
      <c r="X63" s="1293"/>
      <c r="Y63" s="1293"/>
      <c r="Z63" s="1293"/>
      <c r="AA63" s="1293"/>
      <c r="AB63" s="1293"/>
      <c r="AC63" s="1293"/>
      <c r="AD63" s="1293"/>
      <c r="AE63" s="1293"/>
      <c r="AF63" s="1293"/>
      <c r="AG63" s="1293"/>
      <c r="AH63" s="1293"/>
      <c r="AI63" s="1293"/>
      <c r="AJ63" s="1293"/>
      <c r="AK63" s="1293"/>
      <c r="AL63" s="1293"/>
      <c r="AM63" s="1293"/>
      <c r="AS63" s="11">
        <v>18</v>
      </c>
    </row>
    <row r="64" spans="1:45" ht="39.75" customHeight="1">
      <c r="O64" s="63"/>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33" hidden="1"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8.375" style="11" hidden="1" customWidth="1"/>
  </cols>
  <sheetData>
    <row r="1" spans="1:45" ht="22.5" hidden="1" customHeight="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14.25" hidden="1" customHeight="1">
      <c r="A6" s="769"/>
      <c r="B6" s="769"/>
      <c r="C6" s="769"/>
      <c r="D6" s="769"/>
      <c r="E6" s="1295"/>
      <c r="F6" s="1295"/>
      <c r="G6" s="1295"/>
      <c r="H6" s="1295"/>
      <c r="I6" s="1296" t="e">
        <f>S5&amp;".1"</f>
        <v>#N/A</v>
      </c>
      <c r="J6" s="769"/>
      <c r="K6" s="769"/>
      <c r="L6" s="770" t="s">
        <v>407</v>
      </c>
      <c r="M6" s="63"/>
      <c r="P6" s="1298">
        <v>1</v>
      </c>
      <c r="Q6" s="122"/>
      <c r="R6" s="208"/>
      <c r="S6" s="362"/>
      <c r="T6" s="779"/>
      <c r="U6" s="780"/>
      <c r="V6" s="1325"/>
      <c r="W6" s="1326"/>
      <c r="X6" s="1326"/>
      <c r="Y6" s="1326"/>
      <c r="Z6" s="1326"/>
      <c r="AA6" s="1326"/>
      <c r="AB6" s="1326"/>
      <c r="AC6" s="1327"/>
      <c r="AD6" s="1325"/>
      <c r="AE6" s="1326"/>
      <c r="AF6" s="1326"/>
      <c r="AG6" s="1326"/>
      <c r="AH6" s="1326"/>
      <c r="AI6" s="1326"/>
      <c r="AJ6" s="1326"/>
      <c r="AK6" s="1326"/>
      <c r="AL6" s="1327"/>
      <c r="AM6" s="781"/>
      <c r="AO6" s="69"/>
      <c r="AP6" s="69" t="str">
        <f t="shared" si="0"/>
        <v/>
      </c>
      <c r="AQ6" s="69"/>
      <c r="AR6" s="69"/>
      <c r="AS6" s="11">
        <v>0</v>
      </c>
    </row>
    <row r="7" spans="1:45" ht="21" hidden="1" customHeight="1">
      <c r="A7" s="769"/>
      <c r="B7" s="769"/>
      <c r="C7" s="769"/>
      <c r="D7" s="769"/>
      <c r="E7" s="1295"/>
      <c r="F7" s="1295"/>
      <c r="G7" s="1295"/>
      <c r="H7" s="1295"/>
      <c r="I7" s="1297"/>
      <c r="J7" s="1296" t="e">
        <f>I6&amp;".1"</f>
        <v>#N/A</v>
      </c>
      <c r="K7" s="769"/>
      <c r="L7" s="770" t="s">
        <v>410</v>
      </c>
      <c r="M7" s="63"/>
      <c r="N7" s="63"/>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69"/>
      <c r="B8" s="769"/>
      <c r="C8" s="769"/>
      <c r="D8" s="769"/>
      <c r="E8" s="1295"/>
      <c r="F8" s="1295"/>
      <c r="G8" s="1295"/>
      <c r="H8" s="1295"/>
      <c r="I8" s="1297"/>
      <c r="J8" s="1297"/>
      <c r="K8" s="1296" t="e">
        <f>J7&amp;".1"</f>
        <v>#N/A</v>
      </c>
      <c r="L8" s="770" t="s">
        <v>413</v>
      </c>
      <c r="M8" s="63"/>
      <c r="N8" s="63"/>
      <c r="O8" s="63"/>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0.7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69"/>
      <c r="B10" s="769"/>
      <c r="C10" s="769"/>
      <c r="D10" s="769"/>
      <c r="E10" s="1295"/>
      <c r="F10" s="1295"/>
      <c r="G10" s="1295"/>
      <c r="H10" s="1295"/>
      <c r="I10" s="1297"/>
      <c r="J10" s="1296"/>
      <c r="K10" s="769"/>
      <c r="L10" s="770"/>
      <c r="M10" s="63"/>
      <c r="N10" s="63"/>
      <c r="P10" s="1298"/>
      <c r="Q10" s="1298"/>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5"/>
      <c r="F11" s="1295"/>
      <c r="G11" s="1295"/>
      <c r="H11" s="1295"/>
      <c r="I11" s="1296"/>
      <c r="J11" s="769"/>
      <c r="K11" s="769"/>
      <c r="L11" s="770"/>
      <c r="M11" s="63"/>
      <c r="P11" s="1298"/>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5"/>
      <c r="F12" s="1295"/>
      <c r="G12" s="1295"/>
      <c r="H12" s="129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63" customHeight="1">
      <c r="Q26" s="28"/>
      <c r="R26" s="28"/>
      <c r="S26" s="12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5"/>
      <c r="U26" s="1275"/>
      <c r="V26" s="1275"/>
      <c r="W26" s="1275"/>
      <c r="X26" s="1275"/>
      <c r="Y26" s="1275"/>
      <c r="Z26" s="1275"/>
      <c r="AA26" s="1275"/>
      <c r="AB26" s="1275"/>
      <c r="AC26" s="1275"/>
      <c r="AD26" s="1275"/>
      <c r="AE26" s="1275"/>
      <c r="AF26" s="1275"/>
      <c r="AG26" s="1275"/>
      <c r="AH26" s="1275"/>
      <c r="AI26" s="1275"/>
      <c r="AJ26" s="1275"/>
      <c r="AK26" s="59"/>
      <c r="AS26" s="11">
        <v>60</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c r="X40" s="1140" t="s">
        <v>437</v>
      </c>
      <c r="Y40" s="1139"/>
      <c r="Z40" s="1140" t="s">
        <v>438</v>
      </c>
      <c r="AA40" s="1145"/>
      <c r="AB40" s="1139"/>
      <c r="AC40" s="1312"/>
      <c r="AD40" s="1227" t="s">
        <v>451</v>
      </c>
      <c r="AE40" s="1303"/>
      <c r="AF40" s="1140" t="s">
        <v>437</v>
      </c>
      <c r="AG40" s="1139"/>
      <c r="AH40" s="1140" t="s">
        <v>438</v>
      </c>
      <c r="AI40" s="1145"/>
      <c r="AJ40" s="1139"/>
      <c r="AK40" s="1312"/>
      <c r="AL40" s="1315"/>
      <c r="AM40" s="1158"/>
      <c r="AS40" s="11">
        <v>34</v>
      </c>
    </row>
    <row r="41" spans="1:45" ht="35.700000000000003"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69" t="s">
        <v>169</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69" t="s">
        <v>169</v>
      </c>
      <c r="B44" s="769" t="s">
        <v>170</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69" t="s">
        <v>169</v>
      </c>
      <c r="B46" s="769" t="s">
        <v>170</v>
      </c>
      <c r="C46" s="769" t="s">
        <v>171</v>
      </c>
      <c r="D46" s="769" t="s">
        <v>172</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95"/>
      <c r="F47" s="1295"/>
      <c r="G47" s="1295"/>
      <c r="H47" s="1295"/>
      <c r="I47" s="1296" t="str">
        <f>S46&amp;".1"</f>
        <v>....1</v>
      </c>
      <c r="J47" s="145"/>
      <c r="K47" s="145"/>
      <c r="L47" s="346" t="s">
        <v>407</v>
      </c>
      <c r="M47" s="290"/>
      <c r="N47" s="290"/>
      <c r="O47" s="290"/>
      <c r="P47" s="1298">
        <v>1</v>
      </c>
      <c r="Q47" s="122"/>
      <c r="R47" s="208"/>
      <c r="S47" s="362"/>
      <c r="T47" s="779"/>
      <c r="U47" s="780"/>
      <c r="V47" s="1325"/>
      <c r="W47" s="1326"/>
      <c r="X47" s="1326"/>
      <c r="Y47" s="1326"/>
      <c r="Z47" s="1326"/>
      <c r="AA47" s="1326"/>
      <c r="AB47" s="1326"/>
      <c r="AC47" s="1327"/>
      <c r="AD47" s="1325"/>
      <c r="AE47" s="1326"/>
      <c r="AF47" s="1326"/>
      <c r="AG47" s="1326"/>
      <c r="AH47" s="1326"/>
      <c r="AI47" s="1326"/>
      <c r="AJ47" s="1326"/>
      <c r="AK47" s="1326"/>
      <c r="AL47" s="1327"/>
      <c r="AM47" s="781"/>
      <c r="AO47" s="69"/>
      <c r="AP47" s="69" t="str">
        <f t="shared" si="1"/>
        <v/>
      </c>
      <c r="AQ47" s="69"/>
      <c r="AR47" s="69"/>
      <c r="AS47" s="68">
        <v>0</v>
      </c>
    </row>
    <row r="48" spans="1:45" ht="22.05" customHeight="1">
      <c r="A48" s="769" t="s">
        <v>169</v>
      </c>
      <c r="B48" s="769" t="s">
        <v>170</v>
      </c>
      <c r="C48" s="769" t="s">
        <v>171</v>
      </c>
      <c r="D48" s="769" t="s">
        <v>172</v>
      </c>
      <c r="E48" s="1295"/>
      <c r="F48" s="1295"/>
      <c r="G48" s="1295"/>
      <c r="H48" s="1295"/>
      <c r="I48" s="1297"/>
      <c r="J48" s="1296" t="str">
        <f>S46&amp;".1"</f>
        <v>....1</v>
      </c>
      <c r="K48" s="769"/>
      <c r="L48" s="770" t="s">
        <v>410</v>
      </c>
      <c r="P48" s="1298"/>
      <c r="Q48" s="1298">
        <v>1</v>
      </c>
      <c r="R48" s="209"/>
      <c r="S48" s="709" t="str">
        <f>$J48</f>
        <v>....1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69" t="s">
        <v>169</v>
      </c>
      <c r="B49" s="769" t="s">
        <v>170</v>
      </c>
      <c r="C49" s="769" t="s">
        <v>171</v>
      </c>
      <c r="D49" s="769" t="s">
        <v>172</v>
      </c>
      <c r="E49" s="1295"/>
      <c r="F49" s="1295"/>
      <c r="G49" s="1295"/>
      <c r="H49" s="1295"/>
      <c r="I49" s="1297"/>
      <c r="J49" s="1297"/>
      <c r="K49" s="1296" t="str">
        <f>J48&amp;".1"</f>
        <v>....1.1</v>
      </c>
      <c r="L49" s="770" t="s">
        <v>413</v>
      </c>
      <c r="P49" s="1298"/>
      <c r="Q49" s="1298"/>
      <c r="R49" s="209">
        <v>1</v>
      </c>
      <c r="S49" s="709" t="str">
        <f>$K49</f>
        <v>....1.1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452</v>
      </c>
      <c r="AN49" s="68" t="e">
        <f ca="1">STRCHECKDATE(V50:AL50)</f>
        <v>#NAME?</v>
      </c>
      <c r="AO49" s="69"/>
      <c r="AP49" s="69" t="str">
        <f t="shared" si="1"/>
        <v/>
      </c>
      <c r="AQ49" s="69"/>
      <c r="AR49" s="69"/>
      <c r="AS49" s="11">
        <v>21</v>
      </c>
    </row>
    <row r="50" spans="1:45" ht="1.05" customHeight="1">
      <c r="A50" s="769" t="s">
        <v>169</v>
      </c>
      <c r="B50" s="769" t="s">
        <v>170</v>
      </c>
      <c r="C50" s="769" t="s">
        <v>171</v>
      </c>
      <c r="D50" s="769" t="s">
        <v>172</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69" t="s">
        <v>169</v>
      </c>
      <c r="B51" s="769" t="s">
        <v>170</v>
      </c>
      <c r="C51" s="769" t="s">
        <v>171</v>
      </c>
      <c r="D51" s="769" t="s">
        <v>172</v>
      </c>
      <c r="E51" s="1295"/>
      <c r="F51" s="1295"/>
      <c r="G51" s="1295"/>
      <c r="H51" s="1295"/>
      <c r="I51" s="1297"/>
      <c r="J51" s="1296"/>
      <c r="K51" s="769"/>
      <c r="L51" s="770"/>
      <c r="P51" s="1298"/>
      <c r="Q51" s="1298"/>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169</v>
      </c>
      <c r="B52" s="769" t="s">
        <v>170</v>
      </c>
      <c r="C52" s="769" t="s">
        <v>171</v>
      </c>
      <c r="D52" s="769" t="s">
        <v>172</v>
      </c>
      <c r="E52" s="1295"/>
      <c r="F52" s="1295"/>
      <c r="G52" s="1295"/>
      <c r="H52" s="1295"/>
      <c r="I52" s="1296"/>
      <c r="J52" s="769"/>
      <c r="K52" s="769"/>
      <c r="L52" s="770"/>
      <c r="P52" s="1298"/>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95"/>
      <c r="F53" s="1295"/>
      <c r="G53" s="1295"/>
      <c r="H53" s="129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169</v>
      </c>
      <c r="B54" s="145" t="s">
        <v>170</v>
      </c>
      <c r="C54" s="145" t="s">
        <v>171</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169</v>
      </c>
      <c r="B55" s="145" t="s">
        <v>170</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169</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19.95"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19</v>
      </c>
    </row>
    <row r="60" spans="1:45" ht="29.25"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28</v>
      </c>
    </row>
    <row r="61" spans="1:45" ht="42" customHeight="1">
      <c r="O61" s="63"/>
      <c r="T61" s="1293"/>
      <c r="U61" s="1293"/>
      <c r="V61" s="1293"/>
      <c r="W61" s="1293"/>
      <c r="X61" s="1293"/>
      <c r="Y61" s="1293"/>
      <c r="Z61" s="1293"/>
      <c r="AA61" s="1293"/>
      <c r="AB61" s="1293"/>
      <c r="AC61" s="1293"/>
      <c r="AD61" s="1293"/>
      <c r="AE61" s="1293"/>
      <c r="AF61" s="1293"/>
      <c r="AG61" s="1293"/>
      <c r="AH61" s="1293"/>
      <c r="AI61" s="1293"/>
      <c r="AJ61" s="1293"/>
      <c r="AK61" s="1293"/>
      <c r="AL61" s="1293"/>
      <c r="AM61" s="1293"/>
      <c r="AS61" s="11">
        <v>40</v>
      </c>
    </row>
    <row r="62" spans="1:45" ht="14.7" customHeight="1">
      <c r="O62" s="63"/>
      <c r="AS62" s="11">
        <v>14</v>
      </c>
    </row>
    <row r="63" spans="1:45" ht="21" customHeight="1">
      <c r="O63" s="63"/>
      <c r="S63" s="198"/>
      <c r="T63" s="1200"/>
      <c r="U63" s="1293"/>
      <c r="V63" s="1293"/>
      <c r="W63" s="1293"/>
      <c r="X63" s="1293"/>
      <c r="Y63" s="1293"/>
      <c r="Z63" s="1293"/>
      <c r="AA63" s="1293"/>
      <c r="AB63" s="1293"/>
      <c r="AC63" s="1293"/>
      <c r="AD63" s="1293"/>
      <c r="AE63" s="1293"/>
      <c r="AF63" s="1293"/>
      <c r="AG63" s="1293"/>
      <c r="AH63" s="1293"/>
      <c r="AI63" s="1293"/>
      <c r="AJ63" s="1293"/>
      <c r="AK63" s="1293"/>
      <c r="AL63" s="1293"/>
      <c r="AM63" s="1293"/>
      <c r="AS63" s="11">
        <v>20</v>
      </c>
    </row>
    <row r="64" spans="1:45" ht="29.25" customHeight="1">
      <c r="O64" s="63"/>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35.700000000000003" customHeight="1">
      <c r="T65" s="1293"/>
      <c r="U65" s="1293"/>
      <c r="V65" s="1293"/>
      <c r="W65" s="1293"/>
      <c r="X65" s="1293"/>
      <c r="Y65" s="1293"/>
      <c r="Z65" s="1293"/>
      <c r="AA65" s="1293"/>
      <c r="AB65" s="1293"/>
      <c r="AC65" s="1293"/>
      <c r="AD65" s="1293"/>
      <c r="AE65" s="1293"/>
      <c r="AF65" s="1293"/>
      <c r="AG65" s="1293"/>
      <c r="AH65" s="1293"/>
      <c r="AI65" s="1293"/>
      <c r="AJ65" s="1293"/>
      <c r="AK65" s="1293"/>
      <c r="AL65" s="1293"/>
      <c r="AM65" s="1293"/>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33" hidden="1"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1" s="101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1045" t="e">
        <f>INDEX(PT_DIFFERENTIATION_NUM_CS,MATCH(C4,PT_DIFFERENTIATION_CS_ID,0))</f>
        <v>#N/A</v>
      </c>
      <c r="T4" s="1063" t="s">
        <v>403</v>
      </c>
      <c r="U4" s="1064"/>
      <c r="V4" s="1330"/>
      <c r="W4" s="1331"/>
      <c r="X4" s="1331"/>
      <c r="Y4" s="1331"/>
      <c r="Z4" s="1331"/>
      <c r="AA4" s="1331"/>
      <c r="AB4" s="1331"/>
      <c r="AC4" s="1332"/>
      <c r="AD4" s="1330" t="e">
        <f>INDEX(PT_DIFFERENTIATION_CS,MATCH(C4,PT_DIFFERENTIATION_CS_ID,0))</f>
        <v>#N/A</v>
      </c>
      <c r="AE4" s="1331"/>
      <c r="AF4" s="1331"/>
      <c r="AG4" s="1331"/>
      <c r="AH4" s="1331"/>
      <c r="AI4" s="1331"/>
      <c r="AJ4" s="1331"/>
      <c r="AK4" s="1331"/>
      <c r="AL4" s="1332"/>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11"/>
      <c r="S5" s="709" t="e">
        <f>INDEX(PT_DIFFERENTIATION_NUM_IST_TE,MATCH(D5,PT_DIFFERENTIATION_IST_TE_ID,0))</f>
        <v>#N/A</v>
      </c>
      <c r="T5" s="179" t="s">
        <v>405</v>
      </c>
      <c r="U5" s="171"/>
      <c r="V5" s="1333"/>
      <c r="W5" s="1333"/>
      <c r="X5" s="1333"/>
      <c r="Y5" s="1333"/>
      <c r="Z5" s="1333"/>
      <c r="AA5" s="1333"/>
      <c r="AB5" s="1333"/>
      <c r="AC5" s="1333"/>
      <c r="AD5" s="1333" t="e">
        <f>INDEX(PT_DIFFERENTIATION_IST_TE,MATCH(D5,PT_DIFFERENTIATION_IST_TE_ID,0))</f>
        <v>#N/A</v>
      </c>
      <c r="AE5" s="1333"/>
      <c r="AF5" s="1333"/>
      <c r="AG5" s="1333"/>
      <c r="AH5" s="1333"/>
      <c r="AI5" s="1333"/>
      <c r="AJ5" s="1333"/>
      <c r="AK5" s="1333"/>
      <c r="AL5" s="1333"/>
      <c r="AM5" s="1061" t="s">
        <v>406</v>
      </c>
      <c r="AO5" s="69"/>
      <c r="AP5" s="69" t="str">
        <f t="shared" si="0"/>
        <v xml:space="preserve">Источник тепловой энергии  </v>
      </c>
      <c r="AQ5" s="69"/>
      <c r="AR5" s="69"/>
      <c r="AS5" s="11">
        <v>0</v>
      </c>
    </row>
    <row r="6" spans="1:45" ht="0.75" hidden="1" customHeight="1">
      <c r="A6" s="769"/>
      <c r="B6" s="769"/>
      <c r="C6" s="769"/>
      <c r="D6" s="769"/>
      <c r="E6" s="1295"/>
      <c r="F6" s="1295"/>
      <c r="G6" s="1295"/>
      <c r="H6" s="1295"/>
      <c r="I6" s="1296" t="e">
        <f>S5&amp;".1"</f>
        <v>#N/A</v>
      </c>
      <c r="J6" s="769"/>
      <c r="K6" s="769"/>
      <c r="L6" s="770" t="s">
        <v>407</v>
      </c>
      <c r="M6" s="63"/>
      <c r="P6" s="1298">
        <v>1</v>
      </c>
      <c r="Q6" s="122"/>
      <c r="R6" s="122"/>
      <c r="S6" s="362"/>
      <c r="T6" s="779"/>
      <c r="U6" s="780"/>
      <c r="V6" s="1334"/>
      <c r="W6" s="1334"/>
      <c r="X6" s="1334"/>
      <c r="Y6" s="1334"/>
      <c r="Z6" s="1334"/>
      <c r="AA6" s="1334"/>
      <c r="AB6" s="1334"/>
      <c r="AC6" s="1334"/>
      <c r="AD6" s="1334"/>
      <c r="AE6" s="1334"/>
      <c r="AF6" s="1334"/>
      <c r="AG6" s="1334"/>
      <c r="AH6" s="1334"/>
      <c r="AI6" s="1334"/>
      <c r="AJ6" s="1334"/>
      <c r="AK6" s="1334"/>
      <c r="AL6" s="1334"/>
      <c r="AM6" s="1062"/>
      <c r="AO6" s="69"/>
      <c r="AP6" s="69" t="str">
        <f t="shared" si="0"/>
        <v/>
      </c>
      <c r="AQ6" s="69"/>
      <c r="AR6" s="69"/>
      <c r="AS6" s="11">
        <v>0</v>
      </c>
    </row>
    <row r="7" spans="1:45" ht="84" hidden="1" customHeight="1">
      <c r="A7" s="769"/>
      <c r="B7" s="769"/>
      <c r="C7" s="769"/>
      <c r="D7" s="769"/>
      <c r="E7" s="1295"/>
      <c r="F7" s="1295"/>
      <c r="G7" s="1295"/>
      <c r="H7" s="1295"/>
      <c r="I7" s="1297"/>
      <c r="J7" s="1296" t="e">
        <f>I6&amp;".1"</f>
        <v>#N/A</v>
      </c>
      <c r="K7" s="769"/>
      <c r="L7" s="770" t="s">
        <v>410</v>
      </c>
      <c r="M7" s="63"/>
      <c r="N7" s="63"/>
      <c r="P7" s="1298"/>
      <c r="Q7" s="1298">
        <v>1</v>
      </c>
      <c r="R7" s="68"/>
      <c r="S7" s="709" t="e">
        <f>$J7</f>
        <v>#N/A</v>
      </c>
      <c r="T7" s="165" t="s">
        <v>411</v>
      </c>
      <c r="U7" s="171"/>
      <c r="V7" s="1328"/>
      <c r="W7" s="1328"/>
      <c r="X7" s="1328"/>
      <c r="Y7" s="1328"/>
      <c r="Z7" s="1328"/>
      <c r="AA7" s="1328"/>
      <c r="AB7" s="1328"/>
      <c r="AC7" s="1328"/>
      <c r="AD7" s="1328"/>
      <c r="AE7" s="1328"/>
      <c r="AF7" s="1328"/>
      <c r="AG7" s="1328"/>
      <c r="AH7" s="1328"/>
      <c r="AI7" s="1328"/>
      <c r="AJ7" s="1328"/>
      <c r="AK7" s="1328"/>
      <c r="AL7" s="1328"/>
      <c r="AM7" s="1061" t="s">
        <v>412</v>
      </c>
      <c r="AO7" s="69"/>
      <c r="AP7" s="69" t="str">
        <f t="shared" si="0"/>
        <v>Группа потребителей</v>
      </c>
      <c r="AQ7" s="69"/>
      <c r="AR7" s="69"/>
      <c r="AS7" s="11">
        <v>0</v>
      </c>
    </row>
    <row r="8" spans="1:45" ht="11.25" hidden="1" customHeight="1">
      <c r="A8" s="769"/>
      <c r="B8" s="769"/>
      <c r="C8" s="769"/>
      <c r="D8" s="769"/>
      <c r="E8" s="1295"/>
      <c r="F8" s="1295"/>
      <c r="G8" s="1295"/>
      <c r="H8" s="1295"/>
      <c r="I8" s="1297"/>
      <c r="J8" s="1297"/>
      <c r="K8" s="1296" t="e">
        <f>J7&amp;".1"</f>
        <v>#N/A</v>
      </c>
      <c r="L8" s="770" t="s">
        <v>413</v>
      </c>
      <c r="M8" s="63"/>
      <c r="N8" s="63"/>
      <c r="O8" s="63"/>
      <c r="P8" s="1298"/>
      <c r="Q8" s="1298"/>
      <c r="R8" s="209">
        <v>1</v>
      </c>
      <c r="S8" s="1060" t="e">
        <f>$K8</f>
        <v>#N/A</v>
      </c>
      <c r="T8" s="1065"/>
      <c r="U8" s="1066"/>
      <c r="V8" s="1067"/>
      <c r="W8" s="767"/>
      <c r="X8" s="1067"/>
      <c r="Y8" s="1068"/>
      <c r="Z8" s="1329"/>
      <c r="AA8" s="1173" t="s">
        <v>67</v>
      </c>
      <c r="AB8" s="1329"/>
      <c r="AC8" s="1173" t="s">
        <v>67</v>
      </c>
      <c r="AD8" s="1067"/>
      <c r="AE8" s="767"/>
      <c r="AF8" s="1067"/>
      <c r="AG8" s="1068"/>
      <c r="AH8" s="1329"/>
      <c r="AI8" s="1173" t="s">
        <v>67</v>
      </c>
      <c r="AJ8" s="1329"/>
      <c r="AK8" s="1173" t="s">
        <v>67</v>
      </c>
      <c r="AL8" s="767"/>
      <c r="AM8" s="1317" t="s">
        <v>414</v>
      </c>
      <c r="AN8" s="68" t="e">
        <f ca="1">STRCHECKDATE(V9:AL9)</f>
        <v>#NAME?</v>
      </c>
      <c r="AO8" s="69"/>
      <c r="AP8" s="69" t="str">
        <f t="shared" si="0"/>
        <v/>
      </c>
      <c r="AQ8" s="69"/>
      <c r="AR8" s="69"/>
      <c r="AS8" s="11">
        <v>0</v>
      </c>
    </row>
    <row r="9" spans="1:45" ht="0.7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1.25" hidden="1" customHeight="1">
      <c r="A10" s="769"/>
      <c r="B10" s="769"/>
      <c r="C10" s="769"/>
      <c r="D10" s="769"/>
      <c r="E10" s="1295"/>
      <c r="F10" s="1295"/>
      <c r="G10" s="1295"/>
      <c r="H10" s="1295"/>
      <c r="I10" s="1297"/>
      <c r="J10" s="1296"/>
      <c r="K10" s="769"/>
      <c r="L10" s="770"/>
      <c r="M10" s="63"/>
      <c r="N10" s="63"/>
      <c r="P10" s="1298"/>
      <c r="Q10" s="1298"/>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5"/>
      <c r="F11" s="1295"/>
      <c r="G11" s="1295"/>
      <c r="H11" s="1295"/>
      <c r="I11" s="1296"/>
      <c r="J11" s="769"/>
      <c r="K11" s="769"/>
      <c r="L11" s="770"/>
      <c r="M11" s="63"/>
      <c r="P11" s="1298"/>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5"/>
      <c r="F12" s="1295"/>
      <c r="G12" s="1295"/>
      <c r="H12" s="129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54.75" customHeight="1">
      <c r="Q26" s="28"/>
      <c r="R26" s="28"/>
      <c r="S26" s="12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6"/>
      <c r="U26" s="1226"/>
      <c r="V26" s="1226"/>
      <c r="W26" s="1226"/>
      <c r="X26" s="1226"/>
      <c r="Y26" s="1226"/>
      <c r="Z26" s="1226"/>
      <c r="AA26" s="1226"/>
      <c r="AB26" s="1226"/>
      <c r="AC26" s="1226"/>
      <c r="AD26" s="1226"/>
      <c r="AE26" s="1226"/>
      <c r="AF26" s="1226"/>
      <c r="AG26" s="1226"/>
      <c r="AH26" s="1226"/>
      <c r="AI26" s="1226"/>
      <c r="AJ26" s="1226"/>
      <c r="AK26" s="59"/>
      <c r="AS26" s="11">
        <v>52</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c r="X40" s="1140" t="s">
        <v>437</v>
      </c>
      <c r="Y40" s="1139"/>
      <c r="Z40" s="1140" t="s">
        <v>438</v>
      </c>
      <c r="AA40" s="1145"/>
      <c r="AB40" s="1139"/>
      <c r="AC40" s="1312"/>
      <c r="AD40" s="1227" t="s">
        <v>451</v>
      </c>
      <c r="AE40" s="1303"/>
      <c r="AF40" s="1140" t="s">
        <v>437</v>
      </c>
      <c r="AG40" s="1139"/>
      <c r="AH40" s="1140" t="s">
        <v>438</v>
      </c>
      <c r="AI40" s="1145"/>
      <c r="AJ40" s="1139"/>
      <c r="AK40" s="1312"/>
      <c r="AL40" s="1315"/>
      <c r="AM40" s="1158"/>
      <c r="AS40" s="11">
        <v>34</v>
      </c>
    </row>
    <row r="41" spans="1:45" ht="35.700000000000003"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69" t="s">
        <v>181</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69" t="s">
        <v>181</v>
      </c>
      <c r="B44" s="769" t="s">
        <v>182</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69" t="s">
        <v>181</v>
      </c>
      <c r="B46" s="769" t="s">
        <v>182</v>
      </c>
      <c r="C46" s="769" t="s">
        <v>183</v>
      </c>
      <c r="D46" s="769" t="s">
        <v>184</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95"/>
      <c r="F47" s="1295"/>
      <c r="G47" s="1295"/>
      <c r="H47" s="1295"/>
      <c r="I47" s="1296" t="str">
        <f>S46&amp;".1"</f>
        <v>....1</v>
      </c>
      <c r="J47" s="145"/>
      <c r="K47" s="145"/>
      <c r="L47" s="346" t="s">
        <v>407</v>
      </c>
      <c r="M47" s="290"/>
      <c r="N47" s="290"/>
      <c r="O47" s="290"/>
      <c r="P47" s="1298">
        <v>1</v>
      </c>
      <c r="Q47" s="122"/>
      <c r="R47" s="208"/>
      <c r="S47" s="362"/>
      <c r="T47" s="779"/>
      <c r="U47" s="780"/>
      <c r="V47" s="1325"/>
      <c r="W47" s="1326"/>
      <c r="X47" s="1326"/>
      <c r="Y47" s="1326"/>
      <c r="Z47" s="1326"/>
      <c r="AA47" s="1326"/>
      <c r="AB47" s="1326"/>
      <c r="AC47" s="1327"/>
      <c r="AD47" s="1325"/>
      <c r="AE47" s="1326"/>
      <c r="AF47" s="1326"/>
      <c r="AG47" s="1326"/>
      <c r="AH47" s="1326"/>
      <c r="AI47" s="1326"/>
      <c r="AJ47" s="1326"/>
      <c r="AK47" s="1326"/>
      <c r="AL47" s="1327"/>
      <c r="AM47" s="781"/>
      <c r="AO47" s="69"/>
      <c r="AP47" s="69" t="str">
        <f t="shared" si="1"/>
        <v/>
      </c>
      <c r="AQ47" s="69"/>
      <c r="AR47" s="69"/>
      <c r="AS47" s="68">
        <v>0</v>
      </c>
    </row>
    <row r="48" spans="1:45" ht="22.05" customHeight="1">
      <c r="A48" s="769" t="s">
        <v>181</v>
      </c>
      <c r="B48" s="769" t="s">
        <v>182</v>
      </c>
      <c r="C48" s="769" t="s">
        <v>183</v>
      </c>
      <c r="D48" s="769" t="s">
        <v>184</v>
      </c>
      <c r="E48" s="1295"/>
      <c r="F48" s="1295"/>
      <c r="G48" s="1295"/>
      <c r="H48" s="1295"/>
      <c r="I48" s="1297"/>
      <c r="J48" s="1296" t="str">
        <f>S46&amp;".1"</f>
        <v>....1</v>
      </c>
      <c r="K48" s="769"/>
      <c r="L48" s="770" t="s">
        <v>410</v>
      </c>
      <c r="P48" s="1298"/>
      <c r="Q48" s="1298">
        <v>1</v>
      </c>
      <c r="R48" s="209"/>
      <c r="S48" s="709" t="str">
        <f>$J48</f>
        <v>....1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69" t="s">
        <v>181</v>
      </c>
      <c r="B49" s="769" t="s">
        <v>182</v>
      </c>
      <c r="C49" s="769" t="s">
        <v>183</v>
      </c>
      <c r="D49" s="769" t="s">
        <v>184</v>
      </c>
      <c r="E49" s="1295"/>
      <c r="F49" s="1295"/>
      <c r="G49" s="1295"/>
      <c r="H49" s="1295"/>
      <c r="I49" s="1297"/>
      <c r="J49" s="1297"/>
      <c r="K49" s="1296" t="str">
        <f>J48&amp;".1"</f>
        <v>....1.1</v>
      </c>
      <c r="L49" s="770" t="s">
        <v>413</v>
      </c>
      <c r="P49" s="1298"/>
      <c r="Q49" s="1298"/>
      <c r="R49" s="209">
        <v>1</v>
      </c>
      <c r="S49" s="709" t="str">
        <f>$K49</f>
        <v>....1.1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452</v>
      </c>
      <c r="AN49" s="68" t="e">
        <f ca="1">STRCHECKDATE(V50:AL50)</f>
        <v>#NAME?</v>
      </c>
      <c r="AO49" s="69"/>
      <c r="AP49" s="69" t="str">
        <f t="shared" si="1"/>
        <v/>
      </c>
      <c r="AQ49" s="69"/>
      <c r="AR49" s="69"/>
      <c r="AS49" s="11">
        <v>21</v>
      </c>
    </row>
    <row r="50" spans="1:45" ht="1.05" customHeight="1">
      <c r="A50" s="769" t="s">
        <v>181</v>
      </c>
      <c r="B50" s="769" t="s">
        <v>182</v>
      </c>
      <c r="C50" s="769" t="s">
        <v>183</v>
      </c>
      <c r="D50" s="769" t="s">
        <v>184</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1</v>
      </c>
    </row>
    <row r="51" spans="1:45" ht="11.55" customHeight="1">
      <c r="A51" s="769" t="s">
        <v>181</v>
      </c>
      <c r="B51" s="769" t="s">
        <v>182</v>
      </c>
      <c r="C51" s="769" t="s">
        <v>183</v>
      </c>
      <c r="D51" s="769" t="s">
        <v>184</v>
      </c>
      <c r="E51" s="1295"/>
      <c r="F51" s="1295"/>
      <c r="G51" s="1295"/>
      <c r="H51" s="1295"/>
      <c r="I51" s="1297"/>
      <c r="J51" s="1296"/>
      <c r="K51" s="769"/>
      <c r="L51" s="770"/>
      <c r="P51" s="1298"/>
      <c r="Q51" s="1298"/>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181</v>
      </c>
      <c r="B52" s="769" t="s">
        <v>182</v>
      </c>
      <c r="C52" s="769" t="s">
        <v>183</v>
      </c>
      <c r="D52" s="769" t="s">
        <v>184</v>
      </c>
      <c r="E52" s="1295"/>
      <c r="F52" s="1295"/>
      <c r="G52" s="1295"/>
      <c r="H52" s="1295"/>
      <c r="I52" s="1296"/>
      <c r="J52" s="769"/>
      <c r="K52" s="769"/>
      <c r="L52" s="770"/>
      <c r="P52" s="1298"/>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95"/>
      <c r="F53" s="1295"/>
      <c r="G53" s="1295"/>
      <c r="H53" s="129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181</v>
      </c>
      <c r="B54" s="145" t="s">
        <v>182</v>
      </c>
      <c r="C54" s="145" t="s">
        <v>183</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181</v>
      </c>
      <c r="B55" s="145" t="s">
        <v>182</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181</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3.25"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22</v>
      </c>
    </row>
    <row r="60" spans="1:45" ht="30.45"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29</v>
      </c>
    </row>
    <row r="61" spans="1:45" ht="42" customHeight="1">
      <c r="O61" s="63"/>
      <c r="T61" s="1293"/>
      <c r="U61" s="1293"/>
      <c r="V61" s="1293"/>
      <c r="W61" s="1293"/>
      <c r="X61" s="1293"/>
      <c r="Y61" s="1293"/>
      <c r="Z61" s="1293"/>
      <c r="AA61" s="1293"/>
      <c r="AB61" s="1293"/>
      <c r="AC61" s="1293"/>
      <c r="AD61" s="1293"/>
      <c r="AE61" s="1293"/>
      <c r="AF61" s="1293"/>
      <c r="AG61" s="1293"/>
      <c r="AH61" s="1293"/>
      <c r="AI61" s="1293"/>
      <c r="AJ61" s="1293"/>
      <c r="AK61" s="1293"/>
      <c r="AL61" s="1293"/>
      <c r="AM61" s="1293"/>
      <c r="AS61" s="11">
        <v>40</v>
      </c>
    </row>
    <row r="62" spans="1:45" ht="14.7" customHeight="1">
      <c r="O62" s="63"/>
      <c r="AS62" s="11">
        <v>14</v>
      </c>
    </row>
    <row r="63" spans="1:45" ht="21" customHeight="1">
      <c r="O63" s="63"/>
      <c r="S63" s="198"/>
      <c r="T63" s="1200"/>
      <c r="U63" s="1293"/>
      <c r="V63" s="1293"/>
      <c r="W63" s="1293"/>
      <c r="X63" s="1293"/>
      <c r="Y63" s="1293"/>
      <c r="Z63" s="1293"/>
      <c r="AA63" s="1293"/>
      <c r="AB63" s="1293"/>
      <c r="AC63" s="1293"/>
      <c r="AD63" s="1293"/>
      <c r="AE63" s="1293"/>
      <c r="AF63" s="1293"/>
      <c r="AG63" s="1293"/>
      <c r="AH63" s="1293"/>
      <c r="AI63" s="1293"/>
      <c r="AJ63" s="1293"/>
      <c r="AK63" s="1293"/>
      <c r="AL63" s="1293"/>
      <c r="AM63" s="1293"/>
      <c r="AS63" s="11">
        <v>20</v>
      </c>
    </row>
    <row r="64" spans="1:45" ht="29.25" customHeight="1">
      <c r="O64" s="63"/>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28</v>
      </c>
    </row>
    <row r="65" spans="1:45" ht="35.700000000000003" customHeight="1">
      <c r="T65" s="1293"/>
      <c r="U65" s="1293"/>
      <c r="V65" s="1293"/>
      <c r="W65" s="1293"/>
      <c r="X65" s="1293"/>
      <c r="Y65" s="1293"/>
      <c r="Z65" s="1293"/>
      <c r="AA65" s="1293"/>
      <c r="AB65" s="1293"/>
      <c r="AC65" s="1293"/>
      <c r="AD65" s="1293"/>
      <c r="AE65" s="1293"/>
      <c r="AF65" s="1293"/>
      <c r="AG65" s="1293"/>
      <c r="AH65" s="1293"/>
      <c r="AI65" s="1293"/>
      <c r="AJ65" s="1293"/>
      <c r="AK65" s="1293"/>
      <c r="AL65" s="1293"/>
      <c r="AM65" s="1293"/>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33" hidden="1" customWidth="1"/>
    <col min="17" max="18" width="3" style="29" customWidth="1"/>
    <col min="19" max="19" width="12" style="342" customWidth="1"/>
    <col min="20" max="20" width="31" style="11" customWidth="1"/>
    <col min="21" max="21" width="0.125" style="11" customWidth="1"/>
    <col min="22" max="22" width="24.75" style="11" hidden="1" customWidth="1"/>
    <col min="23" max="23" width="0.125" style="11" hidden="1" customWidth="1"/>
    <col min="24" max="25" width="24.75" style="11" hidden="1" customWidth="1"/>
    <col min="26" max="26" width="11.75" style="11" hidden="1" customWidth="1"/>
    <col min="27" max="27" width="3.75" style="11" hidden="1" customWidth="1"/>
    <col min="28" max="28" width="11.75" style="11" hidden="1" customWidth="1"/>
    <col min="29" max="29" width="8.625" style="11" hidden="1" customWidth="1"/>
    <col min="30" max="30" width="24.75" style="11" customWidth="1"/>
    <col min="31" max="31" width="0.125" style="11" customWidth="1"/>
    <col min="32" max="33" width="24" style="11" customWidth="1"/>
    <col min="34" max="34" width="11" style="11" customWidth="1"/>
    <col min="35" max="35" width="3.75" style="11" customWidth="1"/>
    <col min="36" max="36" width="11" style="11" customWidth="1"/>
    <col min="37" max="37" width="8.625" style="11" hidden="1" customWidth="1"/>
    <col min="38" max="38" width="4" style="11" customWidth="1"/>
    <col min="39" max="39" width="115" style="11" customWidth="1"/>
    <col min="40" max="44" width="10" style="68" customWidth="1"/>
    <col min="45" max="45" width="10.625" style="11" hidden="1"/>
  </cols>
  <sheetData>
    <row r="1" spans="1:45" ht="22.5" hidden="1" customHeight="1">
      <c r="AS1" s="11" t="s">
        <v>14</v>
      </c>
    </row>
    <row r="2" spans="1:45" ht="21"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90"/>
      <c r="AD2" s="1288" t="e">
        <f>INDEX(PT_DIFFERENTIATION_NTAR,MATCH(A2,PT_DIFFERENTIATION_NTAR_ID,0))</f>
        <v>#N/A</v>
      </c>
      <c r="AE2" s="1289"/>
      <c r="AF2" s="1289"/>
      <c r="AG2" s="1289"/>
      <c r="AH2" s="1289"/>
      <c r="AI2" s="1289"/>
      <c r="AJ2" s="1289"/>
      <c r="AK2" s="1289"/>
      <c r="AL2" s="1290"/>
      <c r="AM2" s="729" t="s">
        <v>400</v>
      </c>
      <c r="AO2" s="69"/>
      <c r="AP2" s="69" t="str">
        <f t="shared" ref="AP2:AP15" si="0">IF(T2="","",T2)</f>
        <v>Наименование тарифа</v>
      </c>
      <c r="AQ2" s="69"/>
      <c r="AR2" s="69"/>
      <c r="AS2" s="11">
        <v>0</v>
      </c>
    </row>
    <row r="3" spans="1:45" ht="21"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90"/>
      <c r="AD3" s="1288" t="e">
        <f>INDEX(PT_DIFFERENTIATION_TER,MATCH(B3,PT_DIFFERENTIATION_TER_ID,0))</f>
        <v>#N/A</v>
      </c>
      <c r="AE3" s="1289"/>
      <c r="AF3" s="1289"/>
      <c r="AG3" s="1289"/>
      <c r="AH3" s="1289"/>
      <c r="AI3" s="1289"/>
      <c r="AJ3" s="1289"/>
      <c r="AK3" s="1289"/>
      <c r="AL3" s="1290"/>
      <c r="AM3" s="729" t="s">
        <v>402</v>
      </c>
      <c r="AO3" s="69"/>
      <c r="AP3" s="69" t="str">
        <f t="shared" si="0"/>
        <v>Территория действия тарифа</v>
      </c>
      <c r="AQ3" s="69"/>
      <c r="AR3" s="69"/>
      <c r="AS3" s="11">
        <v>0</v>
      </c>
    </row>
    <row r="4" spans="1:45"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403</v>
      </c>
      <c r="U4" s="171"/>
      <c r="V4" s="1288"/>
      <c r="W4" s="1289"/>
      <c r="X4" s="1289"/>
      <c r="Y4" s="1289"/>
      <c r="Z4" s="1289"/>
      <c r="AA4" s="1289"/>
      <c r="AB4" s="1289"/>
      <c r="AC4" s="1290"/>
      <c r="AD4" s="1288" t="e">
        <f>INDEX(PT_DIFFERENTIATION_CS,MATCH(C4,PT_DIFFERENTIATION_CS_ID,0))</f>
        <v>#N/A</v>
      </c>
      <c r="AE4" s="1289"/>
      <c r="AF4" s="1289"/>
      <c r="AG4" s="1289"/>
      <c r="AH4" s="1289"/>
      <c r="AI4" s="1289"/>
      <c r="AJ4" s="1289"/>
      <c r="AK4" s="1289"/>
      <c r="AL4" s="129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95"/>
      <c r="F5" s="1295"/>
      <c r="G5" s="1295"/>
      <c r="H5" s="1294">
        <v>1</v>
      </c>
      <c r="I5" s="769"/>
      <c r="J5" s="769"/>
      <c r="K5" s="769"/>
      <c r="L5" s="770"/>
      <c r="M5" s="426"/>
      <c r="N5" s="426"/>
      <c r="O5" s="426"/>
      <c r="P5" s="206"/>
      <c r="Q5" s="204"/>
      <c r="R5" s="205"/>
      <c r="S5" s="709" t="e">
        <f>INDEX(PT_DIFFERENTIATION_NUM_IST_TE,MATCH(D5,PT_DIFFERENTIATION_IST_TE_ID,0))</f>
        <v>#N/A</v>
      </c>
      <c r="T5" s="179" t="s">
        <v>405</v>
      </c>
      <c r="U5" s="171"/>
      <c r="V5" s="1288"/>
      <c r="W5" s="1289"/>
      <c r="X5" s="1289"/>
      <c r="Y5" s="1289"/>
      <c r="Z5" s="1289"/>
      <c r="AA5" s="1289"/>
      <c r="AB5" s="1289"/>
      <c r="AC5" s="1290"/>
      <c r="AD5" s="1288" t="e">
        <f>INDEX(PT_DIFFERENTIATION_IST_TE,MATCH(D5,PT_DIFFERENTIATION_IST_TE_ID,0))</f>
        <v>#N/A</v>
      </c>
      <c r="AE5" s="1289"/>
      <c r="AF5" s="1289"/>
      <c r="AG5" s="1289"/>
      <c r="AH5" s="1289"/>
      <c r="AI5" s="1289"/>
      <c r="AJ5" s="1289"/>
      <c r="AK5" s="1289"/>
      <c r="AL5" s="1290"/>
      <c r="AM5" s="729" t="s">
        <v>406</v>
      </c>
      <c r="AO5" s="69"/>
      <c r="AP5" s="69" t="str">
        <f t="shared" si="0"/>
        <v xml:space="preserve">Источник тепловой энергии  </v>
      </c>
      <c r="AQ5" s="69"/>
      <c r="AR5" s="69"/>
      <c r="AS5" s="11">
        <v>0</v>
      </c>
    </row>
    <row r="6" spans="1:45" ht="14.25" hidden="1" customHeight="1">
      <c r="A6" s="769"/>
      <c r="B6" s="769"/>
      <c r="C6" s="769"/>
      <c r="D6" s="769"/>
      <c r="E6" s="1295"/>
      <c r="F6" s="1295"/>
      <c r="G6" s="1295"/>
      <c r="H6" s="1295"/>
      <c r="I6" s="1296" t="e">
        <f>S5&amp;".1"</f>
        <v>#N/A</v>
      </c>
      <c r="J6" s="769"/>
      <c r="K6" s="769"/>
      <c r="L6" s="770" t="s">
        <v>407</v>
      </c>
      <c r="M6" s="63"/>
      <c r="P6" s="1298">
        <v>1</v>
      </c>
      <c r="Q6" s="122"/>
      <c r="R6" s="208"/>
      <c r="S6" s="362"/>
      <c r="T6" s="779"/>
      <c r="U6" s="780"/>
      <c r="V6" s="1325"/>
      <c r="W6" s="1326"/>
      <c r="X6" s="1326"/>
      <c r="Y6" s="1326"/>
      <c r="Z6" s="1326"/>
      <c r="AA6" s="1326"/>
      <c r="AB6" s="1326"/>
      <c r="AC6" s="1327"/>
      <c r="AD6" s="1325"/>
      <c r="AE6" s="1326"/>
      <c r="AF6" s="1326"/>
      <c r="AG6" s="1326"/>
      <c r="AH6" s="1326"/>
      <c r="AI6" s="1326"/>
      <c r="AJ6" s="1326"/>
      <c r="AK6" s="1326"/>
      <c r="AL6" s="1327"/>
      <c r="AM6" s="781"/>
      <c r="AO6" s="69"/>
      <c r="AP6" s="69" t="str">
        <f t="shared" si="0"/>
        <v/>
      </c>
      <c r="AQ6" s="69"/>
      <c r="AR6" s="69"/>
      <c r="AS6" s="11">
        <v>0</v>
      </c>
    </row>
    <row r="7" spans="1:45" ht="21" hidden="1" customHeight="1">
      <c r="A7" s="769"/>
      <c r="B7" s="769"/>
      <c r="C7" s="769"/>
      <c r="D7" s="769"/>
      <c r="E7" s="1295"/>
      <c r="F7" s="1295"/>
      <c r="G7" s="1295"/>
      <c r="H7" s="1295"/>
      <c r="I7" s="1297"/>
      <c r="J7" s="1296" t="e">
        <f>I6&amp;".1"</f>
        <v>#N/A</v>
      </c>
      <c r="K7" s="769"/>
      <c r="L7" s="770" t="s">
        <v>410</v>
      </c>
      <c r="M7" s="63"/>
      <c r="N7" s="63"/>
      <c r="P7" s="1298"/>
      <c r="Q7" s="1298">
        <v>1</v>
      </c>
      <c r="R7" s="209"/>
      <c r="S7" s="709" t="e">
        <f>$J7</f>
        <v>#N/A</v>
      </c>
      <c r="T7" s="165" t="s">
        <v>411</v>
      </c>
      <c r="U7" s="171"/>
      <c r="V7" s="1282"/>
      <c r="W7" s="1283"/>
      <c r="X7" s="1283"/>
      <c r="Y7" s="1283"/>
      <c r="Z7" s="1283"/>
      <c r="AA7" s="1283"/>
      <c r="AB7" s="1283"/>
      <c r="AC7" s="1284"/>
      <c r="AD7" s="1282"/>
      <c r="AE7" s="1283"/>
      <c r="AF7" s="1283"/>
      <c r="AG7" s="1283"/>
      <c r="AH7" s="1283"/>
      <c r="AI7" s="1283"/>
      <c r="AJ7" s="1283"/>
      <c r="AK7" s="1283"/>
      <c r="AL7" s="1284"/>
      <c r="AM7" s="729" t="s">
        <v>412</v>
      </c>
      <c r="AO7" s="69"/>
      <c r="AP7" s="69" t="str">
        <f t="shared" si="0"/>
        <v>Группа потребителей</v>
      </c>
      <c r="AQ7" s="69"/>
      <c r="AR7" s="69"/>
      <c r="AS7" s="11">
        <v>0</v>
      </c>
    </row>
    <row r="8" spans="1:45" ht="21" hidden="1" customHeight="1">
      <c r="A8" s="769"/>
      <c r="B8" s="769"/>
      <c r="C8" s="769"/>
      <c r="D8" s="769"/>
      <c r="E8" s="1295"/>
      <c r="F8" s="1295"/>
      <c r="G8" s="1295"/>
      <c r="H8" s="1295"/>
      <c r="I8" s="1297"/>
      <c r="J8" s="1297"/>
      <c r="K8" s="1296" t="e">
        <f>J7&amp;".1"</f>
        <v>#N/A</v>
      </c>
      <c r="L8" s="770" t="s">
        <v>413</v>
      </c>
      <c r="M8" s="63"/>
      <c r="N8" s="63"/>
      <c r="O8" s="63"/>
      <c r="P8" s="1298"/>
      <c r="Q8" s="1298"/>
      <c r="R8" s="209">
        <v>1</v>
      </c>
      <c r="S8" s="709" t="e">
        <f>$K8</f>
        <v>#N/A</v>
      </c>
      <c r="T8" s="765"/>
      <c r="U8" s="171"/>
      <c r="V8" s="306"/>
      <c r="W8" s="191"/>
      <c r="X8" s="306"/>
      <c r="Y8" s="728"/>
      <c r="Z8" s="1299"/>
      <c r="AA8" s="1168" t="s">
        <v>67</v>
      </c>
      <c r="AB8" s="1299"/>
      <c r="AC8" s="1168" t="s">
        <v>67</v>
      </c>
      <c r="AD8" s="306"/>
      <c r="AE8" s="191"/>
      <c r="AF8" s="306"/>
      <c r="AG8" s="728"/>
      <c r="AH8" s="1299"/>
      <c r="AI8" s="1168" t="s">
        <v>67</v>
      </c>
      <c r="AJ8" s="1299"/>
      <c r="AK8" s="1168" t="s">
        <v>67</v>
      </c>
      <c r="AL8" s="191"/>
      <c r="AM8" s="1317" t="s">
        <v>414</v>
      </c>
      <c r="AN8" s="68" t="e">
        <f ca="1">STRCHECKDATE(V9:AL9)</f>
        <v>#NAME?</v>
      </c>
      <c r="AO8" s="69"/>
      <c r="AP8" s="69" t="str">
        <f t="shared" si="0"/>
        <v/>
      </c>
      <c r="AQ8" s="69"/>
      <c r="AR8" s="69"/>
      <c r="AS8" s="11">
        <v>0</v>
      </c>
    </row>
    <row r="9" spans="1:45" ht="14.25" hidden="1" customHeight="1">
      <c r="A9" s="769"/>
      <c r="B9" s="769"/>
      <c r="C9" s="769"/>
      <c r="D9" s="769"/>
      <c r="E9" s="1295"/>
      <c r="F9" s="1295"/>
      <c r="G9" s="1295"/>
      <c r="H9" s="1295"/>
      <c r="I9" s="1297"/>
      <c r="J9" s="1297"/>
      <c r="K9" s="1296"/>
      <c r="L9" s="770"/>
      <c r="M9" s="63"/>
      <c r="N9" s="63"/>
      <c r="O9" s="63"/>
      <c r="P9" s="1298"/>
      <c r="Q9" s="1298"/>
      <c r="R9" s="209"/>
      <c r="S9" s="65"/>
      <c r="T9" s="171"/>
      <c r="U9" s="171"/>
      <c r="V9" s="191"/>
      <c r="W9" s="191"/>
      <c r="X9" s="191"/>
      <c r="Y9" s="192" t="str">
        <f>Z8&amp;"-"&amp;AB8</f>
        <v>-</v>
      </c>
      <c r="Z9" s="1300"/>
      <c r="AA9" s="1168"/>
      <c r="AB9" s="1300"/>
      <c r="AC9" s="1168"/>
      <c r="AD9" s="191"/>
      <c r="AE9" s="191"/>
      <c r="AF9" s="191"/>
      <c r="AG9" s="192" t="str">
        <f>AH8&amp;"-"&amp;AJ8</f>
        <v>-</v>
      </c>
      <c r="AH9" s="1300"/>
      <c r="AI9" s="1168"/>
      <c r="AJ9" s="1300"/>
      <c r="AK9" s="1168"/>
      <c r="AL9" s="191"/>
      <c r="AM9" s="1318"/>
      <c r="AO9" s="69"/>
      <c r="AP9" s="69" t="str">
        <f t="shared" si="0"/>
        <v/>
      </c>
      <c r="AQ9" s="69"/>
      <c r="AR9" s="69"/>
      <c r="AS9" s="11">
        <v>0</v>
      </c>
    </row>
    <row r="10" spans="1:45" ht="15" hidden="1" customHeight="1">
      <c r="A10" s="769"/>
      <c r="B10" s="769"/>
      <c r="C10" s="769"/>
      <c r="D10" s="769"/>
      <c r="E10" s="1295"/>
      <c r="F10" s="1295"/>
      <c r="G10" s="1295"/>
      <c r="H10" s="1295"/>
      <c r="I10" s="1297"/>
      <c r="J10" s="1296"/>
      <c r="K10" s="769"/>
      <c r="L10" s="770"/>
      <c r="M10" s="63"/>
      <c r="N10" s="63"/>
      <c r="P10" s="1298"/>
      <c r="Q10" s="1298"/>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5"/>
      <c r="F11" s="1295"/>
      <c r="G11" s="1295"/>
      <c r="H11" s="1295"/>
      <c r="I11" s="1296"/>
      <c r="J11" s="769"/>
      <c r="K11" s="769"/>
      <c r="L11" s="770"/>
      <c r="M11" s="63"/>
      <c r="P11" s="1298"/>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5"/>
      <c r="F12" s="1295"/>
      <c r="G12" s="1295"/>
      <c r="H12" s="129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5"/>
      <c r="F13" s="1295"/>
      <c r="G13" s="1294"/>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5"/>
      <c r="F14" s="1294"/>
      <c r="G14" s="145"/>
      <c r="H14" s="145"/>
      <c r="I14" s="145"/>
      <c r="J14" s="145"/>
      <c r="K14" s="145"/>
      <c r="L14" s="346"/>
      <c r="M14" s="759"/>
      <c r="N14" s="759"/>
      <c r="P14" s="104"/>
      <c r="Q14" s="755"/>
      <c r="R14" s="104"/>
      <c r="S14" s="760"/>
      <c r="T14" s="761" t="s">
        <v>275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4"/>
      <c r="F15" s="145"/>
      <c r="G15" s="145"/>
      <c r="H15" s="145"/>
      <c r="I15" s="145"/>
      <c r="J15" s="145"/>
      <c r="K15" s="145"/>
      <c r="L15" s="346"/>
      <c r="M15" s="759"/>
      <c r="N15" s="759"/>
      <c r="P15" s="104"/>
      <c r="Q15" s="755"/>
      <c r="R15" s="104"/>
      <c r="S15" s="760"/>
      <c r="T15" s="762" t="s">
        <v>276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2"/>
      <c r="AI17" s="1291" t="s">
        <v>67</v>
      </c>
      <c r="AJ17" s="1292"/>
      <c r="AK17" s="1291" t="s">
        <v>67</v>
      </c>
      <c r="AS17" s="11">
        <v>0</v>
      </c>
    </row>
    <row r="18" spans="1:45" ht="14.25" hidden="1" customHeight="1">
      <c r="AD18" s="368"/>
      <c r="AE18" s="368"/>
      <c r="AF18" s="368"/>
      <c r="AG18" s="192" t="str">
        <f>AH17&amp;"-"&amp;AJ17</f>
        <v>-</v>
      </c>
      <c r="AH18" s="1291"/>
      <c r="AI18" s="1291"/>
      <c r="AJ18" s="1291"/>
      <c r="AK18" s="1291"/>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7" customHeight="1">
      <c r="Q25" s="28"/>
      <c r="R25" s="28"/>
      <c r="S25" s="739"/>
      <c r="T25" s="10"/>
      <c r="U25" s="10"/>
      <c r="AS25" s="11">
        <v>14</v>
      </c>
    </row>
    <row r="26" spans="1:45" ht="53.55" customHeight="1">
      <c r="Q26" s="28"/>
      <c r="R26" s="28"/>
      <c r="S26" s="12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5"/>
      <c r="U26" s="1275"/>
      <c r="V26" s="1275"/>
      <c r="W26" s="1275"/>
      <c r="X26" s="1275"/>
      <c r="Y26" s="1275"/>
      <c r="Z26" s="1275"/>
      <c r="AA26" s="1275"/>
      <c r="AB26" s="1275"/>
      <c r="AC26" s="1275"/>
      <c r="AD26" s="1275"/>
      <c r="AE26" s="1275"/>
      <c r="AF26" s="1275"/>
      <c r="AG26" s="1275"/>
      <c r="AH26" s="1275"/>
      <c r="AI26" s="1275"/>
      <c r="AJ26" s="1275"/>
      <c r="AK26" s="59"/>
      <c r="AS26" s="11">
        <v>51</v>
      </c>
    </row>
    <row r="27" spans="1:45" ht="14.7" customHeight="1">
      <c r="Q27" s="28"/>
      <c r="R27" s="28"/>
      <c r="S27" s="1247" t="str">
        <f>IF(org=0,"Не определено",org)</f>
        <v>АО "Юграавиа"</v>
      </c>
      <c r="T27" s="1247"/>
      <c r="U27" s="1247"/>
      <c r="V27" s="1247"/>
      <c r="W27" s="1247"/>
      <c r="X27" s="1247"/>
      <c r="Y27" s="1247"/>
      <c r="Z27" s="1247"/>
      <c r="AA27" s="1247"/>
      <c r="AB27" s="1247"/>
      <c r="AC27" s="1247"/>
      <c r="AD27" s="1247"/>
      <c r="AE27" s="1247"/>
      <c r="AF27" s="1247"/>
      <c r="AG27" s="1247"/>
      <c r="AH27" s="1247"/>
      <c r="AI27" s="1247"/>
      <c r="AJ27" s="1247"/>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85" t="s">
        <v>42</v>
      </c>
      <c r="T29" s="1285"/>
      <c r="U29" s="773"/>
      <c r="V29" s="1287" t="str">
        <f>IF(TITLE_NAME_OR_PR_CHANGE="",IF(TITLE_NAME_OR_PR="","",TITLE_NAME_OR_PR),TITLE_NAME_OR_PR_CHANGE)</f>
        <v>Региональная служба по тарифам Ханты-Мансийского автономного округа – Югры (РСТ Югры)</v>
      </c>
      <c r="W29" s="1287"/>
      <c r="X29" s="1287"/>
      <c r="Y29" s="1287"/>
      <c r="Z29" s="1287"/>
      <c r="AA29" s="1287"/>
      <c r="AB29" s="1287"/>
      <c r="AC29" s="11"/>
      <c r="AD29" s="1287" t="str">
        <f>IF(TITLE_NAME_OR_PR_CHANGE="",IF(TITLE_NAME_OR_PR="","",TITLE_NAME_OR_PR),TITLE_NAME_OR_PR_CHANGE)</f>
        <v>Региональная служба по тарифам Ханты-Мансийского автономного округа – Югры (РСТ Югры)</v>
      </c>
      <c r="AE29" s="1287"/>
      <c r="AF29" s="1287"/>
      <c r="AG29" s="1287"/>
      <c r="AH29" s="1287"/>
      <c r="AI29" s="1287"/>
      <c r="AJ29" s="1287"/>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85" t="s">
        <v>425</v>
      </c>
      <c r="T30" s="1285"/>
      <c r="U30" s="773"/>
      <c r="V30" s="1286">
        <f>IF(TITLE_DATE_PR_CHANGE="",IF(TITLE_DATE_PR="","",TITLE_DATE_PR),TITLE_DATE_PR_CHANGE)</f>
        <v>45999</v>
      </c>
      <c r="W30" s="1286"/>
      <c r="X30" s="1286"/>
      <c r="Y30" s="1286"/>
      <c r="Z30" s="1286"/>
      <c r="AA30" s="1286"/>
      <c r="AB30" s="1286"/>
      <c r="AC30" s="11"/>
      <c r="AD30" s="1286">
        <f>IF(TITLE_DATE_PR_CHANGE="",IF(TITLE_DATE_PR="","",TITLE_DATE_PR),TITLE_DATE_PR_CHANGE)</f>
        <v>45999</v>
      </c>
      <c r="AE30" s="1286"/>
      <c r="AF30" s="1286"/>
      <c r="AG30" s="1286"/>
      <c r="AH30" s="1286"/>
      <c r="AI30" s="1286"/>
      <c r="AJ30" s="1286"/>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85" t="s">
        <v>426</v>
      </c>
      <c r="T31" s="1285"/>
      <c r="U31" s="773"/>
      <c r="V31" s="1287" t="str">
        <f>IF(TITLE_NUMBER_PR_CHANGE="",IF(TITLE_NUMBER_PR="","",TITLE_NUMBER_PR),TITLE_NUMBER_PR_CHANGE)</f>
        <v>94-нп</v>
      </c>
      <c r="W31" s="1287"/>
      <c r="X31" s="1287"/>
      <c r="Y31" s="1287"/>
      <c r="Z31" s="1287"/>
      <c r="AA31" s="1287"/>
      <c r="AB31" s="1287"/>
      <c r="AC31" s="11"/>
      <c r="AD31" s="1287" t="str">
        <f>IF(TITLE_NUMBER_PR_CHANGE="",IF(TITLE_NUMBER_PR="","",TITLE_NUMBER_PR),TITLE_NUMBER_PR_CHANGE)</f>
        <v>94-нп</v>
      </c>
      <c r="AE31" s="1287"/>
      <c r="AF31" s="1287"/>
      <c r="AG31" s="1287"/>
      <c r="AH31" s="1287"/>
      <c r="AI31" s="1287"/>
      <c r="AJ31" s="1287"/>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85" t="s">
        <v>44</v>
      </c>
      <c r="T32" s="1285"/>
      <c r="U32" s="773"/>
      <c r="V32" s="1287" t="str">
        <f>IF(TITLE_IST_PUB_CHANGE="",IF(TITLE_IST_PUB="","",TITLE_IST_PUB),TITLE_IST_PUB_CHANGE)</f>
        <v>«Официальный интернет-портал правовой информации» (www.pravo.gov.ru)</v>
      </c>
      <c r="W32" s="1287"/>
      <c r="X32" s="1287"/>
      <c r="Y32" s="1287"/>
      <c r="Z32" s="1287"/>
      <c r="AA32" s="1287"/>
      <c r="AB32" s="1287"/>
      <c r="AC32" s="11"/>
      <c r="AD32" s="1287" t="str">
        <f>IF(TITLE_IST_PUB_CHANGE="",IF(TITLE_IST_PUB="","",TITLE_IST_PUB),TITLE_IST_PUB_CHANGE)</f>
        <v>«Официальный интернет-портал правовой информации» (www.pravo.gov.ru)</v>
      </c>
      <c r="AE32" s="1287"/>
      <c r="AF32" s="1287"/>
      <c r="AG32" s="1287"/>
      <c r="AH32" s="1287"/>
      <c r="AI32" s="1287"/>
      <c r="AJ32" s="128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85" t="s">
        <v>427</v>
      </c>
      <c r="T34" s="1285"/>
      <c r="U34" s="773"/>
      <c r="V34" s="1286">
        <f>IF(TITLE_DATE_PR_CHANGE="",IF(TITLE_DATE_PR="","",TITLE_DATE_PR),TITLE_DATE_PR_CHANGE)</f>
        <v>45999</v>
      </c>
      <c r="W34" s="1286"/>
      <c r="X34" s="1286"/>
      <c r="Y34" s="1286"/>
      <c r="Z34" s="1286"/>
      <c r="AA34" s="1286"/>
      <c r="AB34" s="1286"/>
      <c r="AC34" s="11"/>
      <c r="AD34" s="1286">
        <f>IF(TITLE_DATE_PR_CHANGE="",IF(TITLE_DATE_PR="","",TITLE_DATE_PR),TITLE_DATE_PR_CHANGE)</f>
        <v>45999</v>
      </c>
      <c r="AE34" s="1286"/>
      <c r="AF34" s="1286"/>
      <c r="AG34" s="1286"/>
      <c r="AH34" s="1286"/>
      <c r="AI34" s="1286"/>
      <c r="AJ34" s="128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85" t="s">
        <v>428</v>
      </c>
      <c r="T35" s="1285"/>
      <c r="U35" s="773"/>
      <c r="V35" s="1287" t="str">
        <f>IF(TITLE_NUMBER_PR_CHANGE="",IF(TITLE_NUMBER_PR="","",TITLE_NUMBER_PR),TITLE_NUMBER_PR_CHANGE)</f>
        <v>94-нп</v>
      </c>
      <c r="W35" s="1287"/>
      <c r="X35" s="1287"/>
      <c r="Y35" s="1287"/>
      <c r="Z35" s="1287"/>
      <c r="AA35" s="1287"/>
      <c r="AB35" s="1287"/>
      <c r="AC35" s="11"/>
      <c r="AD35" s="1287" t="str">
        <f>IF(TITLE_NUMBER_PR_CHANGE="",IF(TITLE_NUMBER_PR="","",TITLE_NUMBER_PR),TITLE_NUMBER_PR_CHANGE)</f>
        <v>94-нп</v>
      </c>
      <c r="AE35" s="1287"/>
      <c r="AF35" s="1287"/>
      <c r="AG35" s="1287"/>
      <c r="AH35" s="1287"/>
      <c r="AI35" s="1287"/>
      <c r="AJ35" s="128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7" customHeight="1">
      <c r="Q37" s="28"/>
      <c r="R37" s="28"/>
      <c r="S37" s="739"/>
      <c r="T37" s="10"/>
      <c r="U37" s="720"/>
      <c r="V37" s="1306"/>
      <c r="W37" s="1306"/>
      <c r="X37" s="1306"/>
      <c r="Y37" s="1306"/>
      <c r="Z37" s="1306"/>
      <c r="AA37" s="1306"/>
      <c r="AB37" s="1306"/>
      <c r="AC37" s="1306"/>
      <c r="AD37" s="1306"/>
      <c r="AE37" s="1306"/>
      <c r="AF37" s="1306"/>
      <c r="AG37" s="1306"/>
      <c r="AH37" s="1306"/>
      <c r="AI37" s="1306"/>
      <c r="AJ37" s="1306"/>
      <c r="AK37" s="1306"/>
      <c r="AS37" s="11">
        <v>14</v>
      </c>
    </row>
    <row r="38" spans="1:45" ht="14.7" customHeight="1">
      <c r="Q38" s="28"/>
      <c r="R38" s="28"/>
      <c r="S38" s="1158" t="s">
        <v>304</v>
      </c>
      <c r="T38" s="1158"/>
      <c r="U38" s="1158"/>
      <c r="V38" s="1158"/>
      <c r="W38" s="1158"/>
      <c r="X38" s="1158"/>
      <c r="Y38" s="1158"/>
      <c r="Z38" s="1158"/>
      <c r="AA38" s="1158"/>
      <c r="AB38" s="1158"/>
      <c r="AC38" s="1158"/>
      <c r="AD38" s="1158"/>
      <c r="AE38" s="1158"/>
      <c r="AF38" s="1158"/>
      <c r="AG38" s="1158"/>
      <c r="AH38" s="1158"/>
      <c r="AI38" s="1158"/>
      <c r="AJ38" s="1158"/>
      <c r="AK38" s="1158"/>
      <c r="AL38" s="1158"/>
      <c r="AM38" s="1158" t="s">
        <v>305</v>
      </c>
      <c r="AS38" s="11">
        <v>14</v>
      </c>
    </row>
    <row r="39" spans="1:45" ht="14.7" customHeight="1">
      <c r="Q39" s="28"/>
      <c r="R39" s="28"/>
      <c r="S39" s="1307" t="s">
        <v>89</v>
      </c>
      <c r="T39" s="1255" t="s">
        <v>430</v>
      </c>
      <c r="U39" s="172"/>
      <c r="V39" s="1308" t="s">
        <v>431</v>
      </c>
      <c r="W39" s="1309"/>
      <c r="X39" s="1309"/>
      <c r="Y39" s="1309"/>
      <c r="Z39" s="1309"/>
      <c r="AA39" s="1309"/>
      <c r="AB39" s="1310"/>
      <c r="AC39" s="1311" t="s">
        <v>432</v>
      </c>
      <c r="AD39" s="1308" t="s">
        <v>431</v>
      </c>
      <c r="AE39" s="1309"/>
      <c r="AF39" s="1309"/>
      <c r="AG39" s="1309"/>
      <c r="AH39" s="1309"/>
      <c r="AI39" s="1309"/>
      <c r="AJ39" s="1310"/>
      <c r="AK39" s="1311" t="s">
        <v>433</v>
      </c>
      <c r="AL39" s="1314" t="s">
        <v>434</v>
      </c>
      <c r="AM39" s="1158"/>
      <c r="AS39" s="11">
        <v>14</v>
      </c>
    </row>
    <row r="40" spans="1:45" ht="35.700000000000003" customHeight="1">
      <c r="Q40" s="28"/>
      <c r="R40" s="28"/>
      <c r="S40" s="1307"/>
      <c r="T40" s="1255"/>
      <c r="U40" s="607"/>
      <c r="V40" s="1227" t="s">
        <v>435</v>
      </c>
      <c r="W40" s="1303"/>
      <c r="X40" s="1140" t="s">
        <v>437</v>
      </c>
      <c r="Y40" s="1139"/>
      <c r="Z40" s="1140" t="s">
        <v>438</v>
      </c>
      <c r="AA40" s="1145"/>
      <c r="AB40" s="1139"/>
      <c r="AC40" s="1312"/>
      <c r="AD40" s="1227" t="s">
        <v>451</v>
      </c>
      <c r="AE40" s="1303"/>
      <c r="AF40" s="1140" t="s">
        <v>437</v>
      </c>
      <c r="AG40" s="1139"/>
      <c r="AH40" s="1140" t="s">
        <v>438</v>
      </c>
      <c r="AI40" s="1145"/>
      <c r="AJ40" s="1139"/>
      <c r="AK40" s="1312"/>
      <c r="AL40" s="1315"/>
      <c r="AM40" s="1158"/>
      <c r="AS40" s="11">
        <v>34</v>
      </c>
    </row>
    <row r="41" spans="1:45" ht="35.700000000000003"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07"/>
      <c r="T41" s="1255"/>
      <c r="U41" s="173"/>
      <c r="V41" s="1280"/>
      <c r="W41" s="1304"/>
      <c r="X41" s="39" t="s">
        <v>446</v>
      </c>
      <c r="Y41" s="39" t="s">
        <v>447</v>
      </c>
      <c r="Z41" s="39" t="s">
        <v>448</v>
      </c>
      <c r="AA41" s="1260" t="s">
        <v>449</v>
      </c>
      <c r="AB41" s="1274"/>
      <c r="AC41" s="1313"/>
      <c r="AD41" s="1280"/>
      <c r="AE41" s="1304"/>
      <c r="AF41" s="39" t="s">
        <v>446</v>
      </c>
      <c r="AG41" s="39" t="s">
        <v>447</v>
      </c>
      <c r="AH41" s="39" t="s">
        <v>448</v>
      </c>
      <c r="AI41" s="1260" t="s">
        <v>449</v>
      </c>
      <c r="AJ41" s="1274"/>
      <c r="AK41" s="1313"/>
      <c r="AL41" s="1316"/>
      <c r="AM41" s="115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05">
        <f ca="1">OFFSET(AA42,0,-1)+1</f>
        <v>4</v>
      </c>
      <c r="AB42" s="1305"/>
      <c r="AC42" s="727">
        <f ca="1">OFFSET(AC42,0,-2)+1</f>
        <v>5</v>
      </c>
      <c r="AD42" s="727">
        <f ca="1">OFFSET(AD42,0,-1)+1</f>
        <v>6</v>
      </c>
      <c r="AE42" s="727"/>
      <c r="AF42" s="727">
        <f ca="1">OFFSET(AF42,0,-1)+1</f>
        <v>1</v>
      </c>
      <c r="AG42" s="727">
        <f ca="1">OFFSET(AG42,0,-1)+1</f>
        <v>2</v>
      </c>
      <c r="AH42" s="727">
        <f ca="1">OFFSET(AH42,0,-1)+1</f>
        <v>3</v>
      </c>
      <c r="AI42" s="1305">
        <f ca="1">OFFSET(AI42,0,-1)+1</f>
        <v>4</v>
      </c>
      <c r="AJ42" s="1305"/>
      <c r="AK42" s="727">
        <f ca="1">OFFSET(AK42,0,-2)+1</f>
        <v>5</v>
      </c>
      <c r="AL42" s="721">
        <f ca="1">OFFSET(AL42,0,-1)</f>
        <v>5</v>
      </c>
      <c r="AM42" s="727">
        <f ca="1">OFFSET(AM42,0,-1)+1</f>
        <v>6</v>
      </c>
      <c r="AN42" s="68"/>
      <c r="AO42" s="68"/>
      <c r="AP42" s="68"/>
      <c r="AQ42" s="68"/>
      <c r="AR42" s="68"/>
      <c r="AS42" s="203">
        <v>0</v>
      </c>
    </row>
    <row r="43" spans="1:45" ht="22.05" customHeight="1">
      <c r="A43" s="769" t="s">
        <v>187</v>
      </c>
      <c r="B43" s="769"/>
      <c r="C43" s="769"/>
      <c r="D43" s="769"/>
      <c r="E43" s="129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88"/>
      <c r="W43" s="1289"/>
      <c r="X43" s="1289"/>
      <c r="Y43" s="1289"/>
      <c r="Z43" s="1289"/>
      <c r="AA43" s="1289"/>
      <c r="AB43" s="1289"/>
      <c r="AC43" s="1290"/>
      <c r="AD43" s="1288" t="str">
        <f>INDEX(PT_DIFFERENTIATION_NTAR,MATCH(A43,PT_DIFFERENTIATION_NTAR_ID,0))</f>
        <v/>
      </c>
      <c r="AE43" s="1289"/>
      <c r="AF43" s="1289"/>
      <c r="AG43" s="1289"/>
      <c r="AH43" s="1289"/>
      <c r="AI43" s="1289"/>
      <c r="AJ43" s="1289"/>
      <c r="AK43" s="1289"/>
      <c r="AL43" s="129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2.05" customHeight="1">
      <c r="A44" s="769" t="s">
        <v>187</v>
      </c>
      <c r="B44" s="769" t="s">
        <v>188</v>
      </c>
      <c r="C44" s="769"/>
      <c r="D44" s="769"/>
      <c r="E44" s="1295"/>
      <c r="F44" s="1294">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88"/>
      <c r="W44" s="1289"/>
      <c r="X44" s="1289"/>
      <c r="Y44" s="1289"/>
      <c r="Z44" s="1289"/>
      <c r="AA44" s="1289"/>
      <c r="AB44" s="1289"/>
      <c r="AC44" s="1290"/>
      <c r="AD44" s="1288" t="str">
        <f>INDEX(PT_DIFFERENTIATION_TER,MATCH(B44,PT_DIFFERENTIATION_TER_ID,0))</f>
        <v/>
      </c>
      <c r="AE44" s="1289"/>
      <c r="AF44" s="1289"/>
      <c r="AG44" s="1289"/>
      <c r="AH44" s="1289"/>
      <c r="AI44" s="1289"/>
      <c r="AJ44" s="1289"/>
      <c r="AK44" s="1289"/>
      <c r="AL44" s="1290"/>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295"/>
      <c r="F45" s="1295"/>
      <c r="G45" s="1294">
        <v>1</v>
      </c>
      <c r="H45" s="769"/>
      <c r="I45" s="769"/>
      <c r="J45" s="769"/>
      <c r="K45" s="769"/>
      <c r="L45" s="770"/>
      <c r="M45" s="426"/>
      <c r="N45" s="426"/>
      <c r="O45" s="426"/>
      <c r="P45" s="206"/>
      <c r="Q45" s="204"/>
      <c r="R45" s="205"/>
      <c r="S45" s="709" t="str">
        <f>INDEX(PT_DIFFERENTIATION_NUM_CS,MATCH(C45,PT_DIFFERENTIATION_CS_ID,0))</f>
        <v>..</v>
      </c>
      <c r="T45" s="178" t="s">
        <v>403</v>
      </c>
      <c r="U45" s="171"/>
      <c r="V45" s="1288"/>
      <c r="W45" s="1289"/>
      <c r="X45" s="1289"/>
      <c r="Y45" s="1289"/>
      <c r="Z45" s="1289"/>
      <c r="AA45" s="1289"/>
      <c r="AB45" s="1289"/>
      <c r="AC45" s="1290"/>
      <c r="AD45" s="1288" t="str">
        <f>INDEX(PT_DIFFERENTIATION_CS,MATCH(C45,PT_DIFFERENTIATION_CS_ID,0))</f>
        <v/>
      </c>
      <c r="AE45" s="1289"/>
      <c r="AF45" s="1289"/>
      <c r="AG45" s="1289"/>
      <c r="AH45" s="1289"/>
      <c r="AI45" s="1289"/>
      <c r="AJ45" s="1289"/>
      <c r="AK45" s="1289"/>
      <c r="AL45" s="1290"/>
      <c r="AM45" s="729" t="s">
        <v>404</v>
      </c>
      <c r="AO45" s="69"/>
      <c r="AP45" s="69" t="str">
        <f t="shared" si="1"/>
        <v xml:space="preserve">Наименование системы теплоснабжения </v>
      </c>
      <c r="AQ45" s="69"/>
      <c r="AR45" s="69"/>
      <c r="AS45" s="11">
        <v>23</v>
      </c>
    </row>
    <row r="46" spans="1:45" ht="22.05" customHeight="1">
      <c r="A46" s="769" t="s">
        <v>187</v>
      </c>
      <c r="B46" s="769" t="s">
        <v>188</v>
      </c>
      <c r="C46" s="769" t="s">
        <v>189</v>
      </c>
      <c r="D46" s="769" t="s">
        <v>190</v>
      </c>
      <c r="E46" s="1295"/>
      <c r="F46" s="1295"/>
      <c r="G46" s="1295"/>
      <c r="H46" s="1294">
        <v>1</v>
      </c>
      <c r="I46" s="769"/>
      <c r="J46" s="769"/>
      <c r="K46" s="769"/>
      <c r="L46" s="770"/>
      <c r="M46" s="426"/>
      <c r="N46" s="426"/>
      <c r="O46" s="426"/>
      <c r="P46" s="206"/>
      <c r="Q46" s="204"/>
      <c r="R46" s="205"/>
      <c r="S46" s="709" t="str">
        <f>INDEX(PT_DIFFERENTIATION_NUM_IST_TE,MATCH(D46,PT_DIFFERENTIATION_IST_TE_ID,0))</f>
        <v>...</v>
      </c>
      <c r="T46" s="179" t="s">
        <v>405</v>
      </c>
      <c r="U46" s="171"/>
      <c r="V46" s="1288"/>
      <c r="W46" s="1289"/>
      <c r="X46" s="1289"/>
      <c r="Y46" s="1289"/>
      <c r="Z46" s="1289"/>
      <c r="AA46" s="1289"/>
      <c r="AB46" s="1289"/>
      <c r="AC46" s="1290"/>
      <c r="AD46" s="1288" t="str">
        <f>INDEX(PT_DIFFERENTIATION_IST_TE,MATCH(D46,PT_DIFFERENTIATION_IST_TE_ID,0))</f>
        <v/>
      </c>
      <c r="AE46" s="1289"/>
      <c r="AF46" s="1289"/>
      <c r="AG46" s="1289"/>
      <c r="AH46" s="1289"/>
      <c r="AI46" s="1289"/>
      <c r="AJ46" s="1289"/>
      <c r="AK46" s="1289"/>
      <c r="AL46" s="1290"/>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95"/>
      <c r="F47" s="1295"/>
      <c r="G47" s="1295"/>
      <c r="H47" s="1295"/>
      <c r="I47" s="1296" t="str">
        <f>S46&amp;".1"</f>
        <v>....1</v>
      </c>
      <c r="J47" s="145"/>
      <c r="K47" s="145"/>
      <c r="L47" s="346" t="s">
        <v>407</v>
      </c>
      <c r="M47" s="290"/>
      <c r="N47" s="290"/>
      <c r="O47" s="290"/>
      <c r="P47" s="1298">
        <v>1</v>
      </c>
      <c r="Q47" s="122"/>
      <c r="R47" s="208"/>
      <c r="S47" s="362"/>
      <c r="T47" s="779"/>
      <c r="U47" s="780"/>
      <c r="V47" s="1325"/>
      <c r="W47" s="1326"/>
      <c r="X47" s="1326"/>
      <c r="Y47" s="1326"/>
      <c r="Z47" s="1326"/>
      <c r="AA47" s="1326"/>
      <c r="AB47" s="1326"/>
      <c r="AC47" s="1327"/>
      <c r="AD47" s="1325"/>
      <c r="AE47" s="1326"/>
      <c r="AF47" s="1326"/>
      <c r="AG47" s="1326"/>
      <c r="AH47" s="1326"/>
      <c r="AI47" s="1326"/>
      <c r="AJ47" s="1326"/>
      <c r="AK47" s="1326"/>
      <c r="AL47" s="1327"/>
      <c r="AM47" s="781"/>
      <c r="AO47" s="69"/>
      <c r="AP47" s="69" t="str">
        <f t="shared" si="1"/>
        <v/>
      </c>
      <c r="AQ47" s="69"/>
      <c r="AR47" s="69"/>
      <c r="AS47" s="68">
        <v>0</v>
      </c>
    </row>
    <row r="48" spans="1:45" ht="22.05" customHeight="1">
      <c r="A48" s="769" t="s">
        <v>187</v>
      </c>
      <c r="B48" s="769" t="s">
        <v>188</v>
      </c>
      <c r="C48" s="769" t="s">
        <v>189</v>
      </c>
      <c r="D48" s="769" t="s">
        <v>190</v>
      </c>
      <c r="E48" s="1295"/>
      <c r="F48" s="1295"/>
      <c r="G48" s="1295"/>
      <c r="H48" s="1295"/>
      <c r="I48" s="1297"/>
      <c r="J48" s="1296" t="str">
        <f>S46&amp;".1"</f>
        <v>....1</v>
      </c>
      <c r="K48" s="769"/>
      <c r="L48" s="770" t="s">
        <v>410</v>
      </c>
      <c r="P48" s="1298"/>
      <c r="Q48" s="1298">
        <v>1</v>
      </c>
      <c r="R48" s="209"/>
      <c r="S48" s="709" t="str">
        <f>$J48</f>
        <v>....1</v>
      </c>
      <c r="T48" s="165" t="s">
        <v>411</v>
      </c>
      <c r="U48" s="171"/>
      <c r="V48" s="1282"/>
      <c r="W48" s="1283"/>
      <c r="X48" s="1283"/>
      <c r="Y48" s="1283"/>
      <c r="Z48" s="1283"/>
      <c r="AA48" s="1283"/>
      <c r="AB48" s="1283"/>
      <c r="AC48" s="1284"/>
      <c r="AD48" s="1282"/>
      <c r="AE48" s="1283"/>
      <c r="AF48" s="1283"/>
      <c r="AG48" s="1283"/>
      <c r="AH48" s="1283"/>
      <c r="AI48" s="1283"/>
      <c r="AJ48" s="1283"/>
      <c r="AK48" s="1283"/>
      <c r="AL48" s="1284"/>
      <c r="AM48" s="729" t="s">
        <v>412</v>
      </c>
      <c r="AO48" s="69"/>
      <c r="AP48" s="69" t="str">
        <f t="shared" si="1"/>
        <v>Группа потребителей</v>
      </c>
      <c r="AQ48" s="69"/>
      <c r="AR48" s="69"/>
      <c r="AS48" s="11">
        <v>21</v>
      </c>
    </row>
    <row r="49" spans="1:45" ht="22.05" customHeight="1">
      <c r="A49" s="769" t="s">
        <v>187</v>
      </c>
      <c r="B49" s="769" t="s">
        <v>188</v>
      </c>
      <c r="C49" s="769" t="s">
        <v>189</v>
      </c>
      <c r="D49" s="769" t="s">
        <v>190</v>
      </c>
      <c r="E49" s="1295"/>
      <c r="F49" s="1295"/>
      <c r="G49" s="1295"/>
      <c r="H49" s="1295"/>
      <c r="I49" s="1297"/>
      <c r="J49" s="1297"/>
      <c r="K49" s="1296" t="str">
        <f>J48&amp;".1"</f>
        <v>....1.1</v>
      </c>
      <c r="L49" s="770" t="s">
        <v>413</v>
      </c>
      <c r="P49" s="1298"/>
      <c r="Q49" s="1298"/>
      <c r="R49" s="209">
        <v>1</v>
      </c>
      <c r="S49" s="709" t="str">
        <f>$K49</f>
        <v>....1.1</v>
      </c>
      <c r="T49" s="765"/>
      <c r="U49" s="171"/>
      <c r="V49" s="306"/>
      <c r="W49" s="191"/>
      <c r="X49" s="306"/>
      <c r="Y49" s="728"/>
      <c r="Z49" s="1299"/>
      <c r="AA49" s="1168" t="s">
        <v>67</v>
      </c>
      <c r="AB49" s="1299"/>
      <c r="AC49" s="1168" t="s">
        <v>67</v>
      </c>
      <c r="AD49" s="306"/>
      <c r="AE49" s="191"/>
      <c r="AF49" s="306"/>
      <c r="AG49" s="728"/>
      <c r="AH49" s="1299"/>
      <c r="AI49" s="1168" t="s">
        <v>67</v>
      </c>
      <c r="AJ49" s="1301"/>
      <c r="AK49" s="1168" t="s">
        <v>67</v>
      </c>
      <c r="AL49" s="766"/>
      <c r="AM49" s="1317"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95"/>
      <c r="F50" s="1295"/>
      <c r="G50" s="1295"/>
      <c r="H50" s="1295"/>
      <c r="I50" s="1297"/>
      <c r="J50" s="1297"/>
      <c r="K50" s="1296"/>
      <c r="L50" s="770"/>
      <c r="P50" s="1298"/>
      <c r="Q50" s="1298"/>
      <c r="R50" s="209"/>
      <c r="S50" s="65"/>
      <c r="T50" s="171"/>
      <c r="U50" s="171"/>
      <c r="V50" s="191"/>
      <c r="W50" s="191"/>
      <c r="X50" s="191"/>
      <c r="Y50" s="192" t="str">
        <f>Z49&amp;"-"&amp;AB49</f>
        <v>-</v>
      </c>
      <c r="Z50" s="1300"/>
      <c r="AA50" s="1168"/>
      <c r="AB50" s="1300"/>
      <c r="AC50" s="1168"/>
      <c r="AD50" s="191"/>
      <c r="AE50" s="191"/>
      <c r="AF50" s="191"/>
      <c r="AG50" s="192" t="str">
        <f>AH49&amp;"-"&amp;AJ49</f>
        <v>-</v>
      </c>
      <c r="AH50" s="1300"/>
      <c r="AI50" s="1168"/>
      <c r="AJ50" s="1302"/>
      <c r="AK50" s="1168"/>
      <c r="AL50" s="767"/>
      <c r="AM50" s="1318"/>
      <c r="AO50" s="69"/>
      <c r="AP50" s="69" t="str">
        <f t="shared" si="1"/>
        <v/>
      </c>
      <c r="AQ50" s="69"/>
      <c r="AR50" s="69"/>
      <c r="AS50" s="11">
        <v>0</v>
      </c>
    </row>
    <row r="51" spans="1:45" ht="11.55" customHeight="1">
      <c r="A51" s="769" t="s">
        <v>187</v>
      </c>
      <c r="B51" s="769" t="s">
        <v>188</v>
      </c>
      <c r="C51" s="769" t="s">
        <v>189</v>
      </c>
      <c r="D51" s="769" t="s">
        <v>190</v>
      </c>
      <c r="E51" s="1295"/>
      <c r="F51" s="1295"/>
      <c r="G51" s="1295"/>
      <c r="H51" s="1295"/>
      <c r="I51" s="1297"/>
      <c r="J51" s="1296"/>
      <c r="K51" s="769"/>
      <c r="L51" s="770"/>
      <c r="P51" s="1298"/>
      <c r="Q51" s="1298"/>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9"/>
      <c r="AO51" s="69"/>
      <c r="AP51" s="69" t="str">
        <f t="shared" si="1"/>
        <v>Добавить вид теплоносителя (параметры теплоносителя)</v>
      </c>
      <c r="AQ51" s="69"/>
      <c r="AR51" s="69"/>
      <c r="AS51" s="11">
        <v>11</v>
      </c>
    </row>
    <row r="52" spans="1:45" ht="11.55" customHeight="1">
      <c r="A52" s="769" t="s">
        <v>187</v>
      </c>
      <c r="B52" s="769" t="s">
        <v>188</v>
      </c>
      <c r="C52" s="769" t="s">
        <v>189</v>
      </c>
      <c r="D52" s="769" t="s">
        <v>190</v>
      </c>
      <c r="E52" s="1295"/>
      <c r="F52" s="1295"/>
      <c r="G52" s="1295"/>
      <c r="H52" s="1295"/>
      <c r="I52" s="1296"/>
      <c r="J52" s="769"/>
      <c r="K52" s="769"/>
      <c r="L52" s="770"/>
      <c r="P52" s="1298"/>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95"/>
      <c r="F53" s="1295"/>
      <c r="G53" s="1295"/>
      <c r="H53" s="129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95"/>
      <c r="F54" s="1295"/>
      <c r="G54" s="1294"/>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95"/>
      <c r="F55" s="1294"/>
      <c r="G55" s="145"/>
      <c r="H55" s="145"/>
      <c r="I55" s="145"/>
      <c r="J55" s="145"/>
      <c r="K55" s="145"/>
      <c r="L55" s="346"/>
      <c r="M55" s="759"/>
      <c r="N55" s="759"/>
      <c r="P55" s="104"/>
      <c r="Q55" s="755"/>
      <c r="R55" s="104"/>
      <c r="S55" s="760"/>
      <c r="T55" s="762" t="s">
        <v>275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94"/>
      <c r="F56" s="145"/>
      <c r="G56" s="145"/>
      <c r="H56" s="145"/>
      <c r="I56" s="145"/>
      <c r="J56" s="145"/>
      <c r="K56" s="145"/>
      <c r="L56" s="346"/>
      <c r="M56" s="759"/>
      <c r="N56" s="759"/>
      <c r="P56" s="104"/>
      <c r="Q56" s="755"/>
      <c r="R56" s="104"/>
      <c r="S56" s="760"/>
      <c r="T56" s="762" t="s">
        <v>276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2"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63"/>
      <c r="N58" s="63"/>
      <c r="O58" s="63"/>
      <c r="P58" s="11"/>
      <c r="Q58" s="11"/>
      <c r="R58" s="11"/>
      <c r="S58" s="11"/>
      <c r="AN58" s="11"/>
      <c r="AO58" s="11"/>
      <c r="AP58" s="11"/>
      <c r="AQ58" s="11"/>
      <c r="AR58" s="11"/>
      <c r="AS58" s="11">
        <v>11</v>
      </c>
    </row>
    <row r="59" spans="1:45" ht="14.7" customHeight="1">
      <c r="O59" s="63"/>
      <c r="S59" s="198"/>
      <c r="T59" s="1293"/>
      <c r="U59" s="1293"/>
      <c r="V59" s="1293"/>
      <c r="W59" s="1293"/>
      <c r="X59" s="1293"/>
      <c r="Y59" s="1293"/>
      <c r="Z59" s="1293"/>
      <c r="AA59" s="1293"/>
      <c r="AB59" s="1293"/>
      <c r="AC59" s="1293"/>
      <c r="AD59" s="1293"/>
      <c r="AE59" s="1293"/>
      <c r="AF59" s="1293"/>
      <c r="AG59" s="1293"/>
      <c r="AH59" s="1293"/>
      <c r="AI59" s="1293"/>
      <c r="AJ59" s="1293"/>
      <c r="AK59" s="1293"/>
      <c r="AL59" s="1293"/>
      <c r="AM59" s="1293"/>
      <c r="AS59" s="11">
        <v>14</v>
      </c>
    </row>
    <row r="60" spans="1:45" ht="14.7" customHeight="1">
      <c r="O60" s="63"/>
      <c r="T60" s="1293"/>
      <c r="U60" s="1293"/>
      <c r="V60" s="1293"/>
      <c r="W60" s="1293"/>
      <c r="X60" s="1293"/>
      <c r="Y60" s="1293"/>
      <c r="Z60" s="1293"/>
      <c r="AA60" s="1293"/>
      <c r="AB60" s="1293"/>
      <c r="AC60" s="1293"/>
      <c r="AD60" s="1293"/>
      <c r="AE60" s="1293"/>
      <c r="AF60" s="1293"/>
      <c r="AG60" s="1293"/>
      <c r="AH60" s="1293"/>
      <c r="AI60" s="1293"/>
      <c r="AJ60" s="1293"/>
      <c r="AK60" s="1293"/>
      <c r="AL60" s="1293"/>
      <c r="AM60" s="1293"/>
      <c r="AS60" s="11">
        <v>14</v>
      </c>
    </row>
    <row r="61" spans="1:45" ht="14.7" customHeight="1">
      <c r="O61" s="63"/>
      <c r="T61" s="1293"/>
      <c r="U61" s="1293"/>
      <c r="V61" s="1293"/>
      <c r="W61" s="1293"/>
      <c r="X61" s="1293"/>
      <c r="Y61" s="1293"/>
      <c r="Z61" s="1293"/>
      <c r="AA61" s="1293"/>
      <c r="AB61" s="1293"/>
      <c r="AC61" s="1293"/>
      <c r="AD61" s="1293"/>
      <c r="AE61" s="1293"/>
      <c r="AF61" s="1293"/>
      <c r="AG61" s="1293"/>
      <c r="AH61" s="1293"/>
      <c r="AI61" s="1293"/>
      <c r="AJ61" s="1293"/>
      <c r="AK61" s="1293"/>
      <c r="AL61" s="1293"/>
      <c r="AM61" s="1293"/>
      <c r="AS61" s="11">
        <v>14</v>
      </c>
    </row>
    <row r="62" spans="1:45" ht="14.7" customHeight="1">
      <c r="O62" s="63"/>
      <c r="AS62" s="11">
        <v>14</v>
      </c>
    </row>
    <row r="63" spans="1:45" ht="14.7" customHeight="1">
      <c r="O63" s="63"/>
      <c r="S63" s="198"/>
      <c r="T63" s="1200"/>
      <c r="U63" s="1293"/>
      <c r="V63" s="1293"/>
      <c r="W63" s="1293"/>
      <c r="X63" s="1293"/>
      <c r="Y63" s="1293"/>
      <c r="Z63" s="1293"/>
      <c r="AA63" s="1293"/>
      <c r="AB63" s="1293"/>
      <c r="AC63" s="1293"/>
      <c r="AD63" s="1293"/>
      <c r="AE63" s="1293"/>
      <c r="AF63" s="1293"/>
      <c r="AG63" s="1293"/>
      <c r="AH63" s="1293"/>
      <c r="AI63" s="1293"/>
      <c r="AJ63" s="1293"/>
      <c r="AK63" s="1293"/>
      <c r="AL63" s="1293"/>
      <c r="AM63" s="1293"/>
      <c r="AS63" s="11">
        <v>14</v>
      </c>
    </row>
    <row r="64" spans="1:45" ht="14.7" customHeight="1">
      <c r="O64" s="63"/>
      <c r="T64" s="1293"/>
      <c r="U64" s="1293"/>
      <c r="V64" s="1293"/>
      <c r="W64" s="1293"/>
      <c r="X64" s="1293"/>
      <c r="Y64" s="1293"/>
      <c r="Z64" s="1293"/>
      <c r="AA64" s="1293"/>
      <c r="AB64" s="1293"/>
      <c r="AC64" s="1293"/>
      <c r="AD64" s="1293"/>
      <c r="AE64" s="1293"/>
      <c r="AF64" s="1293"/>
      <c r="AG64" s="1293"/>
      <c r="AH64" s="1293"/>
      <c r="AI64" s="1293"/>
      <c r="AJ64" s="1293"/>
      <c r="AK64" s="1293"/>
      <c r="AL64" s="1293"/>
      <c r="AM64" s="1293"/>
      <c r="AS64" s="11">
        <v>14</v>
      </c>
    </row>
    <row r="65" spans="1:45" ht="14.7" customHeight="1">
      <c r="T65" s="1293"/>
      <c r="U65" s="1293"/>
      <c r="V65" s="1293"/>
      <c r="W65" s="1293"/>
      <c r="X65" s="1293"/>
      <c r="Y65" s="1293"/>
      <c r="Z65" s="1293"/>
      <c r="AA65" s="1293"/>
      <c r="AB65" s="1293"/>
      <c r="AC65" s="1293"/>
      <c r="AD65" s="1293"/>
      <c r="AE65" s="1293"/>
      <c r="AF65" s="1293"/>
      <c r="AG65" s="1293"/>
      <c r="AH65" s="1293"/>
      <c r="AI65" s="1293"/>
      <c r="AJ65" s="1293"/>
      <c r="AK65" s="1293"/>
      <c r="AL65" s="1293"/>
      <c r="AM65" s="1293"/>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1" hidden="1"/>
    <col min="2" max="2" width="11" style="11" hidden="1" customWidth="1"/>
    <col min="3" max="3" width="10.625" style="11" hidden="1"/>
    <col min="4" max="4" width="11.875" style="11" hidden="1" customWidth="1"/>
    <col min="5" max="5" width="10" style="11" hidden="1" customWidth="1"/>
    <col min="6" max="6" width="8.75" style="11" hidden="1" customWidth="1"/>
    <col min="7" max="7" width="7.625" style="11" hidden="1" customWidth="1"/>
    <col min="8" max="8" width="11.375" style="11" hidden="1" customWidth="1"/>
    <col min="9" max="9" width="12" style="11" hidden="1" customWidth="1"/>
    <col min="10" max="10" width="9.875" style="11" hidden="1" customWidth="1"/>
    <col min="11" max="12" width="11.375" style="11" hidden="1" customWidth="1"/>
    <col min="13" max="13" width="19.125" style="58" hidden="1" customWidth="1"/>
    <col min="14" max="15" width="12.25" style="33" hidden="1" customWidth="1"/>
    <col min="16" max="16" width="23.375" style="33" hidden="1" customWidth="1"/>
    <col min="17" max="17" width="3.75" style="33" hidden="1" customWidth="1"/>
    <col min="18" max="20" width="3" style="29" customWidth="1"/>
    <col min="21" max="21" width="12" style="342" customWidth="1"/>
    <col min="22" max="22" width="31" style="11" customWidth="1"/>
    <col min="23" max="23" width="0.125" style="11" customWidth="1"/>
    <col min="24" max="28" width="21.75" style="11" hidden="1" customWidth="1"/>
    <col min="29" max="29" width="11.75" style="11" hidden="1" customWidth="1"/>
    <col min="30" max="30" width="3.75" style="11" hidden="1" customWidth="1"/>
    <col min="31" max="31" width="11.75" style="11" hidden="1" customWidth="1"/>
    <col min="32" max="32" width="8.625" style="11" hidden="1" customWidth="1"/>
    <col min="33" max="33" width="21.75" style="11" customWidth="1"/>
    <col min="34" max="37" width="21" style="11" customWidth="1"/>
    <col min="38" max="38" width="11" style="11" customWidth="1"/>
    <col min="39" max="39" width="3.75" style="11" customWidth="1"/>
    <col min="40" max="40" width="11" style="11" customWidth="1"/>
    <col min="41" max="41" width="8.625" style="11" hidden="1" customWidth="1"/>
    <col min="42" max="42" width="4" style="11" customWidth="1"/>
    <col min="43" max="43" width="115" style="11" customWidth="1"/>
    <col min="44" max="48" width="10" style="68" customWidth="1"/>
    <col min="49" max="49" width="10.625" style="11" hidden="1"/>
  </cols>
  <sheetData>
    <row r="1" spans="1:49" ht="22.5" hidden="1" customHeight="1">
      <c r="AW1" s="11" t="s">
        <v>14</v>
      </c>
    </row>
    <row r="2" spans="1:49" ht="21" hidden="1" customHeight="1">
      <c r="A2" s="731"/>
      <c r="B2" s="731"/>
      <c r="C2" s="731"/>
      <c r="D2" s="731"/>
      <c r="E2" s="1320">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88"/>
      <c r="Y2" s="1289"/>
      <c r="Z2" s="1289"/>
      <c r="AA2" s="1289"/>
      <c r="AB2" s="1289"/>
      <c r="AC2" s="1289"/>
      <c r="AD2" s="1289"/>
      <c r="AE2" s="1289"/>
      <c r="AF2" s="1290"/>
      <c r="AG2" s="1288" t="e">
        <f>INDEX(PT_DIFFERENTIATION_NTAR,MATCH(A2,PT_DIFFERENTIATION_NTAR_ID,0))</f>
        <v>#N/A</v>
      </c>
      <c r="AH2" s="1289"/>
      <c r="AI2" s="1289"/>
      <c r="AJ2" s="1289"/>
      <c r="AK2" s="1289"/>
      <c r="AL2" s="1289"/>
      <c r="AM2" s="1289"/>
      <c r="AN2" s="1289"/>
      <c r="AO2" s="1289"/>
      <c r="AP2" s="1290"/>
      <c r="AQ2" s="729" t="s">
        <v>400</v>
      </c>
      <c r="AS2" s="69"/>
      <c r="AT2" s="69" t="str">
        <f t="shared" ref="AT2:AT8" si="0">IF(V2="","",V2)</f>
        <v>Наименование тарифа</v>
      </c>
      <c r="AU2" s="69"/>
      <c r="AV2" s="69"/>
      <c r="AW2" s="11">
        <v>0</v>
      </c>
    </row>
    <row r="3" spans="1:49" ht="21" hidden="1" customHeight="1">
      <c r="A3" s="731"/>
      <c r="B3" s="731"/>
      <c r="C3" s="731"/>
      <c r="D3" s="731"/>
      <c r="E3" s="1321"/>
      <c r="F3" s="1320">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88"/>
      <c r="Y3" s="1289"/>
      <c r="Z3" s="1289"/>
      <c r="AA3" s="1289"/>
      <c r="AB3" s="1289"/>
      <c r="AC3" s="1289"/>
      <c r="AD3" s="1289"/>
      <c r="AE3" s="1289"/>
      <c r="AF3" s="1290"/>
      <c r="AG3" s="1288" t="e">
        <f>INDEX(PT_DIFFERENTIATION_TER,MATCH(B3,PT_DIFFERENTIATION_TER_ID,0))</f>
        <v>#N/A</v>
      </c>
      <c r="AH3" s="1289"/>
      <c r="AI3" s="1289"/>
      <c r="AJ3" s="1289"/>
      <c r="AK3" s="1289"/>
      <c r="AL3" s="1289"/>
      <c r="AM3" s="1289"/>
      <c r="AN3" s="1289"/>
      <c r="AO3" s="1289"/>
      <c r="AP3" s="1290"/>
      <c r="AQ3" s="729" t="s">
        <v>402</v>
      </c>
      <c r="AS3" s="69"/>
      <c r="AT3" s="69" t="str">
        <f t="shared" si="0"/>
        <v>Территория действия тарифа</v>
      </c>
      <c r="AU3" s="69"/>
      <c r="AV3" s="69"/>
      <c r="AW3" s="11">
        <v>0</v>
      </c>
    </row>
    <row r="4" spans="1:49" ht="22.5" hidden="1" customHeight="1">
      <c r="A4" s="731"/>
      <c r="B4" s="731"/>
      <c r="C4" s="731"/>
      <c r="D4" s="731"/>
      <c r="E4" s="1321"/>
      <c r="F4" s="1321"/>
      <c r="G4" s="1320">
        <v>1</v>
      </c>
      <c r="H4" s="731"/>
      <c r="I4" s="731"/>
      <c r="J4" s="731"/>
      <c r="K4" s="731"/>
      <c r="L4" s="731"/>
      <c r="M4" s="754"/>
      <c r="N4" s="342"/>
      <c r="O4" s="342"/>
      <c r="P4" s="342"/>
      <c r="Q4" s="206"/>
      <c r="R4" s="204"/>
      <c r="S4" s="11"/>
      <c r="T4" s="205"/>
      <c r="U4" s="709" t="e">
        <f>INDEX(PT_DIFFERENTIATION_NUM_CS,MATCH(C4,PT_DIFFERENTIATION_CS_ID,0))</f>
        <v>#N/A</v>
      </c>
      <c r="V4" s="178" t="s">
        <v>403</v>
      </c>
      <c r="W4" s="171"/>
      <c r="X4" s="1288"/>
      <c r="Y4" s="1289"/>
      <c r="Z4" s="1289"/>
      <c r="AA4" s="1289"/>
      <c r="AB4" s="1289"/>
      <c r="AC4" s="1289"/>
      <c r="AD4" s="1289"/>
      <c r="AE4" s="1289"/>
      <c r="AF4" s="1290"/>
      <c r="AG4" s="1288" t="e">
        <f>INDEX(PT_DIFFERENTIATION_CS,MATCH(C4,PT_DIFFERENTIATION_CS_ID,0))</f>
        <v>#N/A</v>
      </c>
      <c r="AH4" s="1289"/>
      <c r="AI4" s="1289"/>
      <c r="AJ4" s="1289"/>
      <c r="AK4" s="1289"/>
      <c r="AL4" s="1289"/>
      <c r="AM4" s="1289"/>
      <c r="AN4" s="1289"/>
      <c r="AO4" s="1289"/>
      <c r="AP4" s="1290"/>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21"/>
      <c r="F5" s="1321"/>
      <c r="G5" s="1321"/>
      <c r="H5" s="1320">
        <v>1</v>
      </c>
      <c r="I5" s="731"/>
      <c r="J5" s="731"/>
      <c r="K5" s="731"/>
      <c r="L5" s="731"/>
      <c r="M5" s="754"/>
      <c r="N5" s="342"/>
      <c r="O5" s="342"/>
      <c r="P5" s="342"/>
      <c r="Q5" s="206"/>
      <c r="R5" s="204"/>
      <c r="S5" s="11"/>
      <c r="T5" s="205"/>
      <c r="U5" s="709" t="e">
        <f>INDEX(PT_DIFFERENTIATION_NUM_IST_TE,MATCH(D5,PT_DIFFERENTIATION_IST_TE_ID,0))</f>
        <v>#N/A</v>
      </c>
      <c r="V5" s="179" t="s">
        <v>405</v>
      </c>
      <c r="W5" s="171"/>
      <c r="X5" s="1288"/>
      <c r="Y5" s="1289"/>
      <c r="Z5" s="1289"/>
      <c r="AA5" s="1289"/>
      <c r="AB5" s="1289"/>
      <c r="AC5" s="1289"/>
      <c r="AD5" s="1289"/>
      <c r="AE5" s="1289"/>
      <c r="AF5" s="1290"/>
      <c r="AG5" s="1288" t="e">
        <f>INDEX(PT_DIFFERENTIATION_IST_TE,MATCH(D5,PT_DIFFERENTIATION_IST_TE_ID,0))</f>
        <v>#N/A</v>
      </c>
      <c r="AH5" s="1289"/>
      <c r="AI5" s="1289"/>
      <c r="AJ5" s="1289"/>
      <c r="AK5" s="1289"/>
      <c r="AL5" s="1289"/>
      <c r="AM5" s="1289"/>
      <c r="AN5" s="1289"/>
      <c r="AO5" s="1289"/>
      <c r="AP5" s="1290"/>
      <c r="AQ5" s="729" t="s">
        <v>406</v>
      </c>
      <c r="AS5" s="69"/>
      <c r="AT5" s="69" t="str">
        <f t="shared" si="0"/>
        <v xml:space="preserve">Источник тепловой энергии  </v>
      </c>
      <c r="AU5" s="69"/>
      <c r="AV5" s="69"/>
      <c r="AW5" s="11">
        <v>0</v>
      </c>
    </row>
    <row r="6" spans="1:49" ht="14.25" hidden="1" customHeight="1">
      <c r="A6" s="731"/>
      <c r="B6" s="731"/>
      <c r="C6" s="731"/>
      <c r="D6" s="731"/>
      <c r="E6" s="1321"/>
      <c r="F6" s="1321"/>
      <c r="G6" s="1321"/>
      <c r="H6" s="1321"/>
      <c r="I6" s="1158" t="e">
        <f>U5&amp;".1"</f>
        <v>#N/A</v>
      </c>
      <c r="J6" s="731"/>
      <c r="K6" s="731"/>
      <c r="L6" s="731"/>
      <c r="M6" s="754" t="s">
        <v>407</v>
      </c>
      <c r="N6" s="11"/>
      <c r="Q6" s="1298">
        <v>1</v>
      </c>
      <c r="R6" s="122"/>
      <c r="S6" s="122"/>
      <c r="T6" s="208"/>
      <c r="U6" s="362"/>
      <c r="V6" s="779"/>
      <c r="W6" s="780"/>
      <c r="X6" s="1325"/>
      <c r="Y6" s="1326"/>
      <c r="Z6" s="1326"/>
      <c r="AA6" s="1326"/>
      <c r="AB6" s="1326"/>
      <c r="AC6" s="1326"/>
      <c r="AD6" s="1326"/>
      <c r="AE6" s="1326"/>
      <c r="AF6" s="1327"/>
      <c r="AG6" s="1325"/>
      <c r="AH6" s="1326"/>
      <c r="AI6" s="1326"/>
      <c r="AJ6" s="1326"/>
      <c r="AK6" s="1326"/>
      <c r="AL6" s="1326"/>
      <c r="AM6" s="1326"/>
      <c r="AN6" s="1326"/>
      <c r="AO6" s="1326"/>
      <c r="AP6" s="1327"/>
      <c r="AQ6" s="781"/>
      <c r="AS6" s="69"/>
      <c r="AT6" s="69" t="str">
        <f t="shared" si="0"/>
        <v/>
      </c>
      <c r="AU6" s="69"/>
      <c r="AV6" s="69"/>
      <c r="AW6" s="11">
        <v>0</v>
      </c>
    </row>
    <row r="7" spans="1:49" ht="21" hidden="1" customHeight="1">
      <c r="A7" s="731"/>
      <c r="B7" s="731"/>
      <c r="C7" s="731"/>
      <c r="D7" s="731"/>
      <c r="E7" s="1321"/>
      <c r="F7" s="1321"/>
      <c r="G7" s="1321"/>
      <c r="H7" s="1321"/>
      <c r="I7" s="1140"/>
      <c r="J7" s="1158" t="e">
        <f>I6&amp;".1"</f>
        <v>#N/A</v>
      </c>
      <c r="K7" s="731"/>
      <c r="L7" s="731"/>
      <c r="M7" s="754" t="s">
        <v>410</v>
      </c>
      <c r="N7" s="11"/>
      <c r="O7" s="11"/>
      <c r="Q7" s="1298"/>
      <c r="R7" s="1298">
        <v>1</v>
      </c>
      <c r="S7" s="68"/>
      <c r="T7" s="209"/>
      <c r="U7" s="709" t="e">
        <f>$J7</f>
        <v>#N/A</v>
      </c>
      <c r="V7" s="165" t="s">
        <v>411</v>
      </c>
      <c r="W7" s="171"/>
      <c r="X7" s="1282"/>
      <c r="Y7" s="1283"/>
      <c r="Z7" s="1283"/>
      <c r="AA7" s="1283"/>
      <c r="AB7" s="1283"/>
      <c r="AC7" s="1278"/>
      <c r="AD7" s="1278"/>
      <c r="AE7" s="1278"/>
      <c r="AF7" s="1338"/>
      <c r="AG7" s="1282"/>
      <c r="AH7" s="1283"/>
      <c r="AI7" s="1283"/>
      <c r="AJ7" s="1283"/>
      <c r="AK7" s="1283"/>
      <c r="AL7" s="1283"/>
      <c r="AM7" s="1283"/>
      <c r="AN7" s="1283"/>
      <c r="AO7" s="1283"/>
      <c r="AP7" s="1284"/>
      <c r="AQ7" s="729" t="s">
        <v>412</v>
      </c>
      <c r="AS7" s="69"/>
      <c r="AT7" s="69" t="str">
        <f t="shared" si="0"/>
        <v>Группа потребителей</v>
      </c>
      <c r="AU7" s="69"/>
      <c r="AV7" s="69"/>
      <c r="AW7" s="11">
        <v>0</v>
      </c>
    </row>
    <row r="8" spans="1:49" ht="21" hidden="1" customHeight="1">
      <c r="A8" s="731"/>
      <c r="B8" s="731"/>
      <c r="C8" s="731"/>
      <c r="D8" s="731"/>
      <c r="E8" s="1321"/>
      <c r="F8" s="1321"/>
      <c r="G8" s="1321"/>
      <c r="H8" s="1321"/>
      <c r="I8" s="1140"/>
      <c r="J8" s="1140"/>
      <c r="K8" s="1158" t="e">
        <f>J7&amp;".1"</f>
        <v>#N/A</v>
      </c>
      <c r="L8" s="58"/>
      <c r="M8" s="754" t="s">
        <v>413</v>
      </c>
      <c r="N8" s="11"/>
      <c r="O8" s="11"/>
      <c r="P8" s="11"/>
      <c r="Q8" s="1298"/>
      <c r="R8" s="1298"/>
      <c r="S8" s="1298">
        <v>1</v>
      </c>
      <c r="T8" s="209"/>
      <c r="U8" s="709" t="e">
        <f>$K8</f>
        <v>#N/A</v>
      </c>
      <c r="V8" s="765"/>
      <c r="W8" s="171"/>
      <c r="X8" s="306"/>
      <c r="Y8" s="306"/>
      <c r="Z8" s="306"/>
      <c r="AA8" s="306"/>
      <c r="AB8" s="798"/>
      <c r="AC8" s="1299"/>
      <c r="AD8" s="1168" t="s">
        <v>67</v>
      </c>
      <c r="AE8" s="1299"/>
      <c r="AF8" s="1168" t="s">
        <v>67</v>
      </c>
      <c r="AG8" s="800"/>
      <c r="AH8" s="306"/>
      <c r="AI8" s="306"/>
      <c r="AJ8" s="306"/>
      <c r="AK8" s="728"/>
      <c r="AL8" s="1299"/>
      <c r="AM8" s="1168" t="s">
        <v>67</v>
      </c>
      <c r="AN8" s="1299"/>
      <c r="AO8" s="1168" t="s">
        <v>67</v>
      </c>
      <c r="AP8" s="191"/>
      <c r="AQ8" s="753" t="s">
        <v>453</v>
      </c>
      <c r="AR8" s="68" t="e">
        <f ca="1">STRCHECKDATE(X10:AP10)</f>
        <v>#NAME?</v>
      </c>
      <c r="AS8" s="69"/>
      <c r="AT8" s="69" t="str">
        <f t="shared" si="0"/>
        <v/>
      </c>
      <c r="AU8" s="69"/>
      <c r="AV8" s="69"/>
      <c r="AW8" s="11">
        <v>0</v>
      </c>
    </row>
    <row r="9" spans="1:49" ht="21" hidden="1" customHeight="1">
      <c r="A9" s="731"/>
      <c r="B9" s="731"/>
      <c r="C9" s="731"/>
      <c r="D9" s="731"/>
      <c r="E9" s="1321"/>
      <c r="F9" s="1321"/>
      <c r="G9" s="1321"/>
      <c r="H9" s="1321"/>
      <c r="I9" s="1140"/>
      <c r="J9" s="1140"/>
      <c r="K9" s="1140"/>
      <c r="L9" s="1158" t="e">
        <f>K8&amp;".1"</f>
        <v>#N/A</v>
      </c>
      <c r="M9" s="754"/>
      <c r="N9" s="11"/>
      <c r="O9" s="11"/>
      <c r="P9" s="11"/>
      <c r="Q9" s="1298"/>
      <c r="R9" s="1298"/>
      <c r="S9" s="1298"/>
      <c r="T9" s="209"/>
      <c r="U9" s="709" t="e">
        <f>$L9</f>
        <v>#N/A</v>
      </c>
      <c r="V9" s="787"/>
      <c r="W9" s="171"/>
      <c r="X9" s="191"/>
      <c r="Y9" s="306"/>
      <c r="Z9" s="306"/>
      <c r="AA9" s="306"/>
      <c r="AB9" s="798"/>
      <c r="AC9" s="1300"/>
      <c r="AD9" s="1168"/>
      <c r="AE9" s="1300"/>
      <c r="AF9" s="1168"/>
      <c r="AG9" s="800"/>
      <c r="AH9" s="306"/>
      <c r="AI9" s="306"/>
      <c r="AJ9" s="306"/>
      <c r="AK9" s="728"/>
      <c r="AL9" s="1300"/>
      <c r="AM9" s="1168"/>
      <c r="AN9" s="1300"/>
      <c r="AO9" s="1168"/>
      <c r="AP9" s="191"/>
      <c r="AQ9" s="1317" t="s">
        <v>454</v>
      </c>
      <c r="AS9" s="69"/>
      <c r="AT9" s="69"/>
      <c r="AU9" s="69"/>
      <c r="AV9" s="69"/>
      <c r="AW9" s="11">
        <v>0</v>
      </c>
    </row>
    <row r="10" spans="1:49" ht="14.25" hidden="1" customHeight="1">
      <c r="A10" s="731"/>
      <c r="B10" s="731"/>
      <c r="C10" s="731"/>
      <c r="D10" s="731"/>
      <c r="E10" s="1321"/>
      <c r="F10" s="1321"/>
      <c r="G10" s="1321"/>
      <c r="H10" s="1321"/>
      <c r="I10" s="1140"/>
      <c r="J10" s="1140"/>
      <c r="K10" s="1140"/>
      <c r="L10" s="1158"/>
      <c r="M10" s="754"/>
      <c r="N10" s="11"/>
      <c r="O10" s="11"/>
      <c r="P10" s="11"/>
      <c r="Q10" s="1298"/>
      <c r="R10" s="1298"/>
      <c r="S10" s="1298"/>
      <c r="T10" s="209"/>
      <c r="U10" s="65"/>
      <c r="V10" s="171"/>
      <c r="W10" s="171"/>
      <c r="X10" s="191"/>
      <c r="Y10" s="191"/>
      <c r="Z10" s="191"/>
      <c r="AA10" s="191"/>
      <c r="AB10" s="799" t="str">
        <f>AC8&amp;"-"&amp;AE8</f>
        <v>-</v>
      </c>
      <c r="AC10" s="1300"/>
      <c r="AD10" s="1168"/>
      <c r="AE10" s="1300"/>
      <c r="AF10" s="1168"/>
      <c r="AG10" s="778"/>
      <c r="AH10" s="191"/>
      <c r="AI10" s="191"/>
      <c r="AJ10" s="191"/>
      <c r="AK10" s="192" t="str">
        <f>AL8&amp;"-"&amp;AN8</f>
        <v>-</v>
      </c>
      <c r="AL10" s="1300"/>
      <c r="AM10" s="1168"/>
      <c r="AN10" s="1300"/>
      <c r="AO10" s="1168"/>
      <c r="AP10" s="191"/>
      <c r="AQ10" s="1318"/>
      <c r="AS10" s="69"/>
      <c r="AT10" s="69" t="str">
        <f>IF(V10="","",V10)</f>
        <v/>
      </c>
      <c r="AU10" s="69"/>
      <c r="AV10" s="69"/>
      <c r="AW10" s="11">
        <v>0</v>
      </c>
    </row>
    <row r="11" spans="1:49" ht="11.25" hidden="1" customHeight="1">
      <c r="A11" s="731"/>
      <c r="B11" s="731"/>
      <c r="C11" s="731"/>
      <c r="D11" s="731"/>
      <c r="E11" s="1321"/>
      <c r="F11" s="1321"/>
      <c r="G11" s="1321"/>
      <c r="H11" s="1321"/>
      <c r="I11" s="1140"/>
      <c r="J11" s="1140"/>
      <c r="K11" s="1158"/>
      <c r="L11" s="731"/>
      <c r="M11" s="754"/>
      <c r="N11" s="11"/>
      <c r="O11" s="11"/>
      <c r="P11" s="11"/>
      <c r="Q11" s="1298"/>
      <c r="R11" s="1298"/>
      <c r="S11" s="1298"/>
      <c r="T11" s="209"/>
      <c r="U11" s="742"/>
      <c r="V11" s="167" t="s">
        <v>455</v>
      </c>
      <c r="W11" s="788"/>
      <c r="X11" s="789"/>
      <c r="Y11" s="789"/>
      <c r="Z11" s="789"/>
      <c r="AA11" s="789"/>
      <c r="AB11" s="790"/>
      <c r="AC11" s="1300"/>
      <c r="AD11" s="1168"/>
      <c r="AE11" s="1300"/>
      <c r="AF11" s="1168"/>
      <c r="AG11" s="789"/>
      <c r="AH11" s="789"/>
      <c r="AI11" s="789"/>
      <c r="AJ11" s="789"/>
      <c r="AK11" s="790"/>
      <c r="AL11" s="1300"/>
      <c r="AM11" s="1168"/>
      <c r="AN11" s="1300"/>
      <c r="AO11" s="1168"/>
      <c r="AP11" s="791"/>
      <c r="AQ11" s="1318"/>
      <c r="AS11" s="69"/>
      <c r="AT11" s="69"/>
      <c r="AU11" s="69"/>
      <c r="AV11" s="69"/>
      <c r="AW11" s="11">
        <v>0</v>
      </c>
    </row>
    <row r="12" spans="1:49" ht="15" hidden="1" customHeight="1">
      <c r="A12" s="731"/>
      <c r="B12" s="731"/>
      <c r="C12" s="731"/>
      <c r="D12" s="731"/>
      <c r="E12" s="1321"/>
      <c r="F12" s="1321"/>
      <c r="G12" s="1321"/>
      <c r="H12" s="1321"/>
      <c r="I12" s="1140"/>
      <c r="J12" s="1158"/>
      <c r="K12" s="731"/>
      <c r="L12" s="731"/>
      <c r="M12" s="754"/>
      <c r="N12" s="11"/>
      <c r="O12" s="11"/>
      <c r="Q12" s="1298"/>
      <c r="R12" s="1298"/>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1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1"/>
      <c r="F13" s="1321"/>
      <c r="G13" s="1321"/>
      <c r="H13" s="1321"/>
      <c r="I13" s="1158"/>
      <c r="J13" s="731"/>
      <c r="K13" s="731"/>
      <c r="L13" s="731"/>
      <c r="M13" s="754"/>
      <c r="N13" s="11"/>
      <c r="Q13" s="1298"/>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1"/>
      <c r="F14" s="1321"/>
      <c r="G14" s="1321"/>
      <c r="H14" s="132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1"/>
      <c r="F15" s="1321"/>
      <c r="G15" s="1320"/>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1"/>
      <c r="F16" s="1320"/>
      <c r="G16" s="774"/>
      <c r="H16" s="774"/>
      <c r="I16" s="774"/>
      <c r="J16" s="774"/>
      <c r="K16" s="774"/>
      <c r="L16" s="774"/>
      <c r="M16" s="775"/>
      <c r="N16" s="777"/>
      <c r="O16" s="777"/>
      <c r="P16" s="203"/>
      <c r="Q16" s="104"/>
      <c r="R16" s="755"/>
      <c r="S16" s="104"/>
      <c r="T16" s="104"/>
      <c r="U16" s="760"/>
      <c r="V16" s="761" t="s">
        <v>275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0"/>
      <c r="F17" s="774"/>
      <c r="G17" s="774"/>
      <c r="H17" s="774"/>
      <c r="I17" s="774"/>
      <c r="J17" s="774"/>
      <c r="K17" s="774"/>
      <c r="L17" s="774"/>
      <c r="M17" s="775"/>
      <c r="N17" s="777"/>
      <c r="O17" s="777"/>
      <c r="P17" s="203"/>
      <c r="Q17" s="104"/>
      <c r="R17" s="755"/>
      <c r="S17" s="104"/>
      <c r="T17" s="104"/>
      <c r="U17" s="760"/>
      <c r="V17" s="762" t="s">
        <v>276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2"/>
      <c r="AM19" s="1291" t="s">
        <v>67</v>
      </c>
      <c r="AN19" s="1292"/>
      <c r="AO19" s="1291" t="s">
        <v>67</v>
      </c>
      <c r="AW19" s="11">
        <v>0</v>
      </c>
    </row>
    <row r="20" spans="1:49" ht="14.25" hidden="1" customHeight="1">
      <c r="AG20" s="368"/>
      <c r="AH20" s="368"/>
      <c r="AI20" s="368"/>
      <c r="AJ20" s="368"/>
      <c r="AK20" s="768"/>
      <c r="AL20" s="1292"/>
      <c r="AM20" s="1291"/>
      <c r="AN20" s="1292"/>
      <c r="AO20" s="1291"/>
      <c r="AW20" s="11">
        <v>0</v>
      </c>
    </row>
    <row r="21" spans="1:49" ht="14.25" hidden="1" customHeight="1">
      <c r="AG21" s="368"/>
      <c r="AH21" s="368"/>
      <c r="AI21" s="368"/>
      <c r="AJ21" s="368"/>
      <c r="AK21" s="768"/>
      <c r="AL21" s="1292"/>
      <c r="AM21" s="1291"/>
      <c r="AN21" s="1292"/>
      <c r="AO21" s="1291"/>
      <c r="AW21" s="11">
        <v>0</v>
      </c>
    </row>
    <row r="22" spans="1:49" ht="14.25" hidden="1" customHeight="1">
      <c r="AG22" s="368"/>
      <c r="AH22" s="368"/>
      <c r="AI22" s="368"/>
      <c r="AJ22" s="368"/>
      <c r="AK22" s="192" t="str">
        <f>AL19&amp;"-"&amp;AN19</f>
        <v>-</v>
      </c>
      <c r="AL22" s="1291"/>
      <c r="AM22" s="1291"/>
      <c r="AN22" s="1291"/>
      <c r="AO22" s="129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7" customHeight="1">
      <c r="R29" s="28"/>
      <c r="S29" s="28"/>
      <c r="T29" s="28"/>
      <c r="U29" s="739"/>
      <c r="V29" s="10"/>
      <c r="W29" s="10"/>
      <c r="AW29" s="11">
        <v>14</v>
      </c>
    </row>
    <row r="30" spans="1:49" ht="56.7" customHeight="1">
      <c r="R30" s="28"/>
      <c r="S30" s="28"/>
      <c r="T30" s="28"/>
      <c r="U30" s="127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5"/>
      <c r="W30" s="1275"/>
      <c r="X30" s="1275"/>
      <c r="Y30" s="1275"/>
      <c r="Z30" s="1275"/>
      <c r="AA30" s="1275"/>
      <c r="AB30" s="1275"/>
      <c r="AC30" s="1275"/>
      <c r="AD30" s="1275"/>
      <c r="AE30" s="1275"/>
      <c r="AF30" s="1275"/>
      <c r="AG30" s="1275"/>
      <c r="AH30" s="1275"/>
      <c r="AI30" s="1275"/>
      <c r="AJ30" s="1275"/>
      <c r="AK30" s="1275"/>
      <c r="AL30" s="1275"/>
      <c r="AM30" s="1275"/>
      <c r="AN30" s="1275"/>
      <c r="AO30" s="59"/>
      <c r="AW30" s="11">
        <v>54</v>
      </c>
    </row>
    <row r="31" spans="1:49" ht="14.7" customHeight="1">
      <c r="R31" s="28"/>
      <c r="S31" s="28"/>
      <c r="T31" s="28"/>
      <c r="U31" s="1247" t="str">
        <f>IF(org=0,"Не определено",org)</f>
        <v>АО "Юграавиа"</v>
      </c>
      <c r="V31" s="1247"/>
      <c r="W31" s="1247"/>
      <c r="X31" s="1247"/>
      <c r="Y31" s="1247"/>
      <c r="Z31" s="1247"/>
      <c r="AA31" s="1247"/>
      <c r="AB31" s="1247"/>
      <c r="AC31" s="1247"/>
      <c r="AD31" s="1247"/>
      <c r="AE31" s="1247"/>
      <c r="AF31" s="1247"/>
      <c r="AG31" s="1247"/>
      <c r="AH31" s="1247"/>
      <c r="AI31" s="1247"/>
      <c r="AJ31" s="1247"/>
      <c r="AK31" s="1247"/>
      <c r="AL31" s="1247"/>
      <c r="AM31" s="1247"/>
      <c r="AN31" s="1247"/>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85" t="s">
        <v>42</v>
      </c>
      <c r="V33" s="1285"/>
      <c r="W33" s="773"/>
      <c r="X33" s="1287" t="str">
        <f>IF(TITLE_NAME_OR_PR_CHANGE="",IF(TITLE_NAME_OR_PR="","",TITLE_NAME_OR_PR),TITLE_NAME_OR_PR_CHANGE)</f>
        <v>Региональная служба по тарифам Ханты-Мансийского автономного округа – Югры (РСТ Югры)</v>
      </c>
      <c r="Y33" s="1287"/>
      <c r="Z33" s="1287"/>
      <c r="AA33" s="1287"/>
      <c r="AB33" s="1287"/>
      <c r="AC33" s="1287"/>
      <c r="AD33" s="1287"/>
      <c r="AE33" s="1287"/>
      <c r="AF33" s="11"/>
      <c r="AG33" s="1287" t="str">
        <f>IF(TITLE_NAME_OR_PR_CHANGE="",IF(TITLE_NAME_OR_PR="","",TITLE_NAME_OR_PR),TITLE_NAME_OR_PR_CHANGE)</f>
        <v>Региональная служба по тарифам Ханты-Мансийского автономного округа – Югры (РСТ Югры)</v>
      </c>
      <c r="AH33" s="1287"/>
      <c r="AI33" s="1287"/>
      <c r="AJ33" s="1287"/>
      <c r="AK33" s="1287"/>
      <c r="AL33" s="1287"/>
      <c r="AM33" s="1287"/>
      <c r="AN33" s="1287"/>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85" t="s">
        <v>425</v>
      </c>
      <c r="V34" s="1285"/>
      <c r="W34" s="773"/>
      <c r="X34" s="1286">
        <f>IF(TITLE_DATE_PR_CHANGE="",IF(TITLE_DATE_PR="","",TITLE_DATE_PR),TITLE_DATE_PR_CHANGE)</f>
        <v>45999</v>
      </c>
      <c r="Y34" s="1286"/>
      <c r="Z34" s="1286"/>
      <c r="AA34" s="1286"/>
      <c r="AB34" s="1286"/>
      <c r="AC34" s="1286"/>
      <c r="AD34" s="1286"/>
      <c r="AE34" s="1286"/>
      <c r="AF34" s="11"/>
      <c r="AG34" s="1286">
        <f>IF(TITLE_DATE_PR_CHANGE="",IF(TITLE_DATE_PR="","",TITLE_DATE_PR),TITLE_DATE_PR_CHANGE)</f>
        <v>45999</v>
      </c>
      <c r="AH34" s="1286"/>
      <c r="AI34" s="1286"/>
      <c r="AJ34" s="1286"/>
      <c r="AK34" s="1286"/>
      <c r="AL34" s="1286"/>
      <c r="AM34" s="1286"/>
      <c r="AN34" s="1286"/>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85" t="s">
        <v>426</v>
      </c>
      <c r="V35" s="1285"/>
      <c r="W35" s="773"/>
      <c r="X35" s="1287" t="str">
        <f>IF(TITLE_NUMBER_PR_CHANGE="",IF(TITLE_NUMBER_PR="","",TITLE_NUMBER_PR),TITLE_NUMBER_PR_CHANGE)</f>
        <v>94-нп</v>
      </c>
      <c r="Y35" s="1287"/>
      <c r="Z35" s="1287"/>
      <c r="AA35" s="1287"/>
      <c r="AB35" s="1287"/>
      <c r="AC35" s="1287"/>
      <c r="AD35" s="1287"/>
      <c r="AE35" s="1287"/>
      <c r="AF35" s="11"/>
      <c r="AG35" s="1287" t="str">
        <f>IF(TITLE_NUMBER_PR_CHANGE="",IF(TITLE_NUMBER_PR="","",TITLE_NUMBER_PR),TITLE_NUMBER_PR_CHANGE)</f>
        <v>94-нп</v>
      </c>
      <c r="AH35" s="1287"/>
      <c r="AI35" s="1287"/>
      <c r="AJ35" s="1287"/>
      <c r="AK35" s="1287"/>
      <c r="AL35" s="1287"/>
      <c r="AM35" s="1287"/>
      <c r="AN35" s="1287"/>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85" t="s">
        <v>44</v>
      </c>
      <c r="V36" s="1285"/>
      <c r="W36" s="773"/>
      <c r="X36" s="1287" t="str">
        <f>IF(TITLE_IST_PUB_CHANGE="",IF(TITLE_IST_PUB="","",TITLE_IST_PUB),TITLE_IST_PUB_CHANGE)</f>
        <v>«Официальный интернет-портал правовой информации» (www.pravo.gov.ru)</v>
      </c>
      <c r="Y36" s="1287"/>
      <c r="Z36" s="1287"/>
      <c r="AA36" s="1287"/>
      <c r="AB36" s="1287"/>
      <c r="AC36" s="1287"/>
      <c r="AD36" s="1287"/>
      <c r="AE36" s="1287"/>
      <c r="AF36" s="11"/>
      <c r="AG36" s="1287" t="str">
        <f>IF(TITLE_IST_PUB_CHANGE="",IF(TITLE_IST_PUB="","",TITLE_IST_PUB),TITLE_IST_PUB_CHANGE)</f>
        <v>«Официальный интернет-портал правовой информации» (www.pravo.gov.ru)</v>
      </c>
      <c r="AH36" s="1287"/>
      <c r="AI36" s="1287"/>
      <c r="AJ36" s="1287"/>
      <c r="AK36" s="1287"/>
      <c r="AL36" s="1287"/>
      <c r="AM36" s="1287"/>
      <c r="AN36" s="128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85" t="s">
        <v>427</v>
      </c>
      <c r="V38" s="1285"/>
      <c r="W38" s="773"/>
      <c r="X38" s="1286">
        <f>IF(TITLE_DATE_PR_CHANGE="",IF(TITLE_DATE_PR="","",TITLE_DATE_PR),TITLE_DATE_PR_CHANGE)</f>
        <v>45999</v>
      </c>
      <c r="Y38" s="1286"/>
      <c r="Z38" s="1286"/>
      <c r="AA38" s="1286"/>
      <c r="AB38" s="1286"/>
      <c r="AC38" s="1286"/>
      <c r="AD38" s="1286"/>
      <c r="AE38" s="1286"/>
      <c r="AF38" s="11"/>
      <c r="AG38" s="1286">
        <f>IF(TITLE_DATE_PR_CHANGE="",IF(TITLE_DATE_PR="","",TITLE_DATE_PR),TITLE_DATE_PR_CHANGE)</f>
        <v>45999</v>
      </c>
      <c r="AH38" s="1286"/>
      <c r="AI38" s="1286"/>
      <c r="AJ38" s="1286"/>
      <c r="AK38" s="1286"/>
      <c r="AL38" s="1286"/>
      <c r="AM38" s="1286"/>
      <c r="AN38" s="128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85" t="s">
        <v>428</v>
      </c>
      <c r="V39" s="1285"/>
      <c r="W39" s="773"/>
      <c r="X39" s="1287" t="str">
        <f>IF(TITLE_NUMBER_PR_CHANGE="",IF(TITLE_NUMBER_PR="","",TITLE_NUMBER_PR),TITLE_NUMBER_PR_CHANGE)</f>
        <v>94-нп</v>
      </c>
      <c r="Y39" s="1287"/>
      <c r="Z39" s="1287"/>
      <c r="AA39" s="1287"/>
      <c r="AB39" s="1287"/>
      <c r="AC39" s="1287"/>
      <c r="AD39" s="1287"/>
      <c r="AE39" s="1287"/>
      <c r="AF39" s="11"/>
      <c r="AG39" s="1287" t="str">
        <f>IF(TITLE_NUMBER_PR_CHANGE="",IF(TITLE_NUMBER_PR="","",TITLE_NUMBER_PR),TITLE_NUMBER_PR_CHANGE)</f>
        <v>94-нп</v>
      </c>
      <c r="AH39" s="1287"/>
      <c r="AI39" s="1287"/>
      <c r="AJ39" s="1287"/>
      <c r="AK39" s="1287"/>
      <c r="AL39" s="1287"/>
      <c r="AM39" s="1287"/>
      <c r="AN39" s="128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7" customHeight="1">
      <c r="R41" s="28"/>
      <c r="S41" s="28"/>
      <c r="T41" s="28"/>
      <c r="U41" s="739"/>
      <c r="V41" s="10"/>
      <c r="W41" s="720"/>
      <c r="X41" s="1306"/>
      <c r="Y41" s="1306"/>
      <c r="Z41" s="1306"/>
      <c r="AA41" s="1306"/>
      <c r="AB41" s="1306"/>
      <c r="AC41" s="1306"/>
      <c r="AD41" s="1306"/>
      <c r="AE41" s="1306"/>
      <c r="AF41" s="1306"/>
      <c r="AG41" s="1306"/>
      <c r="AH41" s="1306"/>
      <c r="AI41" s="1306"/>
      <c r="AJ41" s="1306"/>
      <c r="AK41" s="1306"/>
      <c r="AL41" s="1306"/>
      <c r="AM41" s="1306"/>
      <c r="AN41" s="1306"/>
      <c r="AO41" s="1306"/>
      <c r="AW41" s="11">
        <v>14</v>
      </c>
    </row>
    <row r="42" spans="1:49" ht="14.7" customHeight="1">
      <c r="R42" s="28"/>
      <c r="S42" s="28"/>
      <c r="T42" s="28"/>
      <c r="U42" s="1158" t="s">
        <v>304</v>
      </c>
      <c r="V42" s="1158"/>
      <c r="W42" s="1158"/>
      <c r="X42" s="1158"/>
      <c r="Y42" s="1158"/>
      <c r="Z42" s="1158"/>
      <c r="AA42" s="1158"/>
      <c r="AB42" s="1158"/>
      <c r="AC42" s="1158"/>
      <c r="AD42" s="1158"/>
      <c r="AE42" s="1158"/>
      <c r="AF42" s="1158"/>
      <c r="AG42" s="1158"/>
      <c r="AH42" s="1158"/>
      <c r="AI42" s="1158"/>
      <c r="AJ42" s="1158"/>
      <c r="AK42" s="1158"/>
      <c r="AL42" s="1158"/>
      <c r="AM42" s="1158"/>
      <c r="AN42" s="1158"/>
      <c r="AO42" s="1158"/>
      <c r="AP42" s="1158"/>
      <c r="AQ42" s="1158" t="s">
        <v>305</v>
      </c>
      <c r="AW42" s="11">
        <v>14</v>
      </c>
    </row>
    <row r="43" spans="1:49" ht="14.7" customHeight="1">
      <c r="R43" s="28"/>
      <c r="S43" s="28"/>
      <c r="T43" s="28"/>
      <c r="U43" s="1307" t="s">
        <v>89</v>
      </c>
      <c r="V43" s="1255" t="s">
        <v>430</v>
      </c>
      <c r="W43" s="172"/>
      <c r="X43" s="1308" t="s">
        <v>431</v>
      </c>
      <c r="Y43" s="1324"/>
      <c r="Z43" s="1324"/>
      <c r="AA43" s="1324"/>
      <c r="AB43" s="1324"/>
      <c r="AC43" s="1309"/>
      <c r="AD43" s="1309"/>
      <c r="AE43" s="1310"/>
      <c r="AF43" s="1311" t="s">
        <v>432</v>
      </c>
      <c r="AG43" s="1308" t="s">
        <v>431</v>
      </c>
      <c r="AH43" s="1324"/>
      <c r="AI43" s="1324"/>
      <c r="AJ43" s="1324"/>
      <c r="AK43" s="1324"/>
      <c r="AL43" s="1309"/>
      <c r="AM43" s="1309"/>
      <c r="AN43" s="1310"/>
      <c r="AO43" s="1311" t="s">
        <v>433</v>
      </c>
      <c r="AP43" s="1314" t="s">
        <v>434</v>
      </c>
      <c r="AQ43" s="1158"/>
      <c r="AW43" s="11">
        <v>14</v>
      </c>
    </row>
    <row r="44" spans="1:49" ht="35.700000000000003" customHeight="1">
      <c r="R44" s="28"/>
      <c r="S44" s="28"/>
      <c r="T44" s="28"/>
      <c r="U44" s="1307"/>
      <c r="V44" s="1255"/>
      <c r="W44" s="607"/>
      <c r="X44" s="1228" t="s">
        <v>456</v>
      </c>
      <c r="Y44" s="1158" t="s">
        <v>457</v>
      </c>
      <c r="Z44" s="1158"/>
      <c r="AA44" s="1158"/>
      <c r="AB44" s="1158"/>
      <c r="AC44" s="1228" t="s">
        <v>438</v>
      </c>
      <c r="AD44" s="1336"/>
      <c r="AE44" s="1229"/>
      <c r="AF44" s="1312"/>
      <c r="AG44" s="1228" t="s">
        <v>456</v>
      </c>
      <c r="AH44" s="1158" t="s">
        <v>457</v>
      </c>
      <c r="AI44" s="1158"/>
      <c r="AJ44" s="1158"/>
      <c r="AK44" s="1158"/>
      <c r="AL44" s="1228" t="s">
        <v>438</v>
      </c>
      <c r="AM44" s="1336"/>
      <c r="AN44" s="1229"/>
      <c r="AO44" s="1312"/>
      <c r="AP44" s="1315"/>
      <c r="AQ44" s="1158"/>
      <c r="AW44" s="11">
        <v>34</v>
      </c>
    </row>
    <row r="45" spans="1:49" ht="14.7" customHeight="1">
      <c r="R45" s="28"/>
      <c r="S45" s="28"/>
      <c r="T45" s="28"/>
      <c r="U45" s="1307"/>
      <c r="V45" s="1255"/>
      <c r="W45" s="607"/>
      <c r="X45" s="1230"/>
      <c r="Y45" s="1261" t="s">
        <v>458</v>
      </c>
      <c r="Z45" s="1260" t="s">
        <v>459</v>
      </c>
      <c r="AA45" s="1273"/>
      <c r="AB45" s="1274"/>
      <c r="AC45" s="1233"/>
      <c r="AD45" s="1337"/>
      <c r="AE45" s="1234"/>
      <c r="AF45" s="1312"/>
      <c r="AG45" s="1230"/>
      <c r="AH45" s="1261" t="s">
        <v>458</v>
      </c>
      <c r="AI45" s="1260" t="s">
        <v>459</v>
      </c>
      <c r="AJ45" s="1273"/>
      <c r="AK45" s="1274"/>
      <c r="AL45" s="1233"/>
      <c r="AM45" s="1337"/>
      <c r="AN45" s="1234"/>
      <c r="AO45" s="1312"/>
      <c r="AP45" s="1315"/>
      <c r="AQ45" s="1158"/>
      <c r="AW45" s="11">
        <v>14</v>
      </c>
    </row>
    <row r="46" spans="1:49" ht="27.3" customHeight="1">
      <c r="R46" s="28"/>
      <c r="S46" s="28"/>
      <c r="T46" s="28"/>
      <c r="U46" s="1307"/>
      <c r="V46" s="1255"/>
      <c r="W46" s="607"/>
      <c r="X46" s="1230"/>
      <c r="Y46" s="1335"/>
      <c r="Z46" s="1261" t="s">
        <v>460</v>
      </c>
      <c r="AA46" s="1260" t="s">
        <v>461</v>
      </c>
      <c r="AB46" s="1274"/>
      <c r="AC46" s="1261" t="s">
        <v>448</v>
      </c>
      <c r="AD46" s="1265" t="s">
        <v>449</v>
      </c>
      <c r="AE46" s="1263"/>
      <c r="AF46" s="1312"/>
      <c r="AG46" s="1230"/>
      <c r="AH46" s="1335"/>
      <c r="AI46" s="1261" t="s">
        <v>460</v>
      </c>
      <c r="AJ46" s="1260" t="s">
        <v>461</v>
      </c>
      <c r="AK46" s="1274"/>
      <c r="AL46" s="1261" t="s">
        <v>448</v>
      </c>
      <c r="AM46" s="1265" t="s">
        <v>449</v>
      </c>
      <c r="AN46" s="1263"/>
      <c r="AO46" s="1312"/>
      <c r="AP46" s="1315"/>
      <c r="AQ46" s="1158"/>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307"/>
      <c r="V47" s="1255"/>
      <c r="W47" s="173"/>
      <c r="X47" s="1233"/>
      <c r="Y47" s="1262"/>
      <c r="Z47" s="1262"/>
      <c r="AA47" s="39" t="s">
        <v>463</v>
      </c>
      <c r="AB47" s="39" t="s">
        <v>464</v>
      </c>
      <c r="AC47" s="1262"/>
      <c r="AD47" s="1266"/>
      <c r="AE47" s="1264"/>
      <c r="AF47" s="1313"/>
      <c r="AG47" s="1233"/>
      <c r="AH47" s="1262"/>
      <c r="AI47" s="1262"/>
      <c r="AJ47" s="39" t="s">
        <v>463</v>
      </c>
      <c r="AK47" s="39" t="s">
        <v>464</v>
      </c>
      <c r="AL47" s="1262"/>
      <c r="AM47" s="1266"/>
      <c r="AN47" s="1264"/>
      <c r="AO47" s="1313"/>
      <c r="AP47" s="1316"/>
      <c r="AQ47" s="1158"/>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305">
        <f ca="1">OFFSET(AD48,0,-1)+1</f>
        <v>4</v>
      </c>
      <c r="AE48" s="1305"/>
      <c r="AF48" s="727">
        <f ca="1">OFFSET(AF48,0,-2)+1</f>
        <v>5</v>
      </c>
      <c r="AG48" s="727">
        <f ca="1">OFFSET(AG48,0,-1)+1</f>
        <v>6</v>
      </c>
      <c r="AH48" s="727"/>
      <c r="AI48" s="727"/>
      <c r="AJ48" s="727">
        <f ca="1">OFFSET(AJ48,0,-1)+1</f>
        <v>1</v>
      </c>
      <c r="AK48" s="727">
        <f ca="1">OFFSET(AK48,0,-1)+1</f>
        <v>2</v>
      </c>
      <c r="AL48" s="727">
        <f ca="1">OFFSET(AL48,0,-1)+1</f>
        <v>3</v>
      </c>
      <c r="AM48" s="1305">
        <f ca="1">OFFSET(AM48,0,-1)+1</f>
        <v>4</v>
      </c>
      <c r="AN48" s="1305"/>
      <c r="AO48" s="727">
        <f ca="1">OFFSET(AO48,0,-2)+1</f>
        <v>5</v>
      </c>
      <c r="AP48" s="721">
        <f ca="1">OFFSET(AP48,0,-1)</f>
        <v>5</v>
      </c>
      <c r="AQ48" s="727">
        <f ca="1">OFFSET(AQ48,0,-1)+1</f>
        <v>6</v>
      </c>
      <c r="AR48" s="68"/>
      <c r="AS48" s="68"/>
      <c r="AT48" s="68"/>
      <c r="AU48" s="68"/>
      <c r="AV48" s="68"/>
      <c r="AW48" s="203">
        <v>0</v>
      </c>
    </row>
    <row r="49" spans="1:49" ht="22.05" customHeight="1">
      <c r="A49" s="731" t="s">
        <v>175</v>
      </c>
      <c r="B49" s="731"/>
      <c r="C49" s="731"/>
      <c r="D49" s="731"/>
      <c r="E49" s="1320">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88"/>
      <c r="Y49" s="1289"/>
      <c r="Z49" s="1289"/>
      <c r="AA49" s="1289"/>
      <c r="AB49" s="1289"/>
      <c r="AC49" s="1289"/>
      <c r="AD49" s="1289"/>
      <c r="AE49" s="1289"/>
      <c r="AF49" s="1290"/>
      <c r="AG49" s="1288" t="str">
        <f>INDEX(PT_DIFFERENTIATION_NTAR,MATCH(A49,PT_DIFFERENTIATION_NTAR_ID,0))</f>
        <v/>
      </c>
      <c r="AH49" s="1289"/>
      <c r="AI49" s="1289"/>
      <c r="AJ49" s="1289"/>
      <c r="AK49" s="1289"/>
      <c r="AL49" s="1289"/>
      <c r="AM49" s="1289"/>
      <c r="AN49" s="1289"/>
      <c r="AO49" s="1289"/>
      <c r="AP49" s="129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2.05" customHeight="1">
      <c r="A50" s="731" t="s">
        <v>175</v>
      </c>
      <c r="B50" s="731" t="s">
        <v>176</v>
      </c>
      <c r="C50" s="731"/>
      <c r="D50" s="731"/>
      <c r="E50" s="1321"/>
      <c r="F50" s="132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88"/>
      <c r="Y50" s="1289"/>
      <c r="Z50" s="1289"/>
      <c r="AA50" s="1289"/>
      <c r="AB50" s="1289"/>
      <c r="AC50" s="1289"/>
      <c r="AD50" s="1289"/>
      <c r="AE50" s="1289"/>
      <c r="AF50" s="1290"/>
      <c r="AG50" s="1288" t="str">
        <f>INDEX(PT_DIFFERENTIATION_TER,MATCH(B50,PT_DIFFERENTIATION_TER_ID,0))</f>
        <v/>
      </c>
      <c r="AH50" s="1289"/>
      <c r="AI50" s="1289"/>
      <c r="AJ50" s="1289"/>
      <c r="AK50" s="1289"/>
      <c r="AL50" s="1289"/>
      <c r="AM50" s="1289"/>
      <c r="AN50" s="1289"/>
      <c r="AO50" s="1289"/>
      <c r="AP50" s="1290"/>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21"/>
      <c r="F51" s="1321"/>
      <c r="G51" s="1320">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88"/>
      <c r="Y51" s="1289"/>
      <c r="Z51" s="1289"/>
      <c r="AA51" s="1289"/>
      <c r="AB51" s="1289"/>
      <c r="AC51" s="1289"/>
      <c r="AD51" s="1289"/>
      <c r="AE51" s="1289"/>
      <c r="AF51" s="1290"/>
      <c r="AG51" s="1288" t="str">
        <f>INDEX(PT_DIFFERENTIATION_CS,MATCH(C51,PT_DIFFERENTIATION_CS_ID,0))</f>
        <v/>
      </c>
      <c r="AH51" s="1289"/>
      <c r="AI51" s="1289"/>
      <c r="AJ51" s="1289"/>
      <c r="AK51" s="1289"/>
      <c r="AL51" s="1289"/>
      <c r="AM51" s="1289"/>
      <c r="AN51" s="1289"/>
      <c r="AO51" s="1289"/>
      <c r="AP51" s="1290"/>
      <c r="AQ51" s="729" t="s">
        <v>404</v>
      </c>
      <c r="AS51" s="69"/>
      <c r="AT51" s="69" t="str">
        <f t="shared" si="2"/>
        <v xml:space="preserve">Наименование системы теплоснабжения </v>
      </c>
      <c r="AU51" s="69"/>
      <c r="AV51" s="69"/>
      <c r="AW51" s="11">
        <v>23</v>
      </c>
    </row>
    <row r="52" spans="1:49" ht="22.05" customHeight="1">
      <c r="A52" s="731" t="s">
        <v>175</v>
      </c>
      <c r="B52" s="731" t="s">
        <v>176</v>
      </c>
      <c r="C52" s="731" t="s">
        <v>177</v>
      </c>
      <c r="D52" s="731" t="s">
        <v>178</v>
      </c>
      <c r="E52" s="1321"/>
      <c r="F52" s="1321"/>
      <c r="G52" s="1321"/>
      <c r="H52" s="1320">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88"/>
      <c r="Y52" s="1289"/>
      <c r="Z52" s="1289"/>
      <c r="AA52" s="1289"/>
      <c r="AB52" s="1289"/>
      <c r="AC52" s="1289"/>
      <c r="AD52" s="1289"/>
      <c r="AE52" s="1289"/>
      <c r="AF52" s="1290"/>
      <c r="AG52" s="1288" t="str">
        <f>INDEX(PT_DIFFERENTIATION_IST_TE,MATCH(D52,PT_DIFFERENTIATION_IST_TE_ID,0))</f>
        <v/>
      </c>
      <c r="AH52" s="1289"/>
      <c r="AI52" s="1289"/>
      <c r="AJ52" s="1289"/>
      <c r="AK52" s="1289"/>
      <c r="AL52" s="1289"/>
      <c r="AM52" s="1289"/>
      <c r="AN52" s="1289"/>
      <c r="AO52" s="1289"/>
      <c r="AP52" s="1290"/>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21"/>
      <c r="F53" s="1321"/>
      <c r="G53" s="1321"/>
      <c r="H53" s="1321"/>
      <c r="I53" s="1158" t="str">
        <f>U52&amp;".1"</f>
        <v>....1</v>
      </c>
      <c r="J53" s="774"/>
      <c r="K53" s="774"/>
      <c r="L53" s="774"/>
      <c r="M53" s="775" t="s">
        <v>407</v>
      </c>
      <c r="N53" s="722"/>
      <c r="O53" s="722"/>
      <c r="P53" s="722"/>
      <c r="Q53" s="1298">
        <v>1</v>
      </c>
      <c r="R53" s="122"/>
      <c r="S53" s="122"/>
      <c r="T53" s="208"/>
      <c r="U53" s="362"/>
      <c r="V53" s="779"/>
      <c r="W53" s="780"/>
      <c r="X53" s="1325"/>
      <c r="Y53" s="1326"/>
      <c r="Z53" s="1326"/>
      <c r="AA53" s="1326"/>
      <c r="AB53" s="1326"/>
      <c r="AC53" s="1326"/>
      <c r="AD53" s="1326"/>
      <c r="AE53" s="1326"/>
      <c r="AF53" s="1327"/>
      <c r="AG53" s="1325"/>
      <c r="AH53" s="1326"/>
      <c r="AI53" s="1326"/>
      <c r="AJ53" s="1326"/>
      <c r="AK53" s="1326"/>
      <c r="AL53" s="1326"/>
      <c r="AM53" s="1326"/>
      <c r="AN53" s="1326"/>
      <c r="AO53" s="1326"/>
      <c r="AP53" s="1327"/>
      <c r="AQ53" s="781"/>
      <c r="AS53" s="69"/>
      <c r="AT53" s="69" t="str">
        <f t="shared" si="2"/>
        <v/>
      </c>
      <c r="AU53" s="69"/>
      <c r="AV53" s="69"/>
      <c r="AW53" s="68">
        <v>0</v>
      </c>
    </row>
    <row r="54" spans="1:49" ht="22.05" customHeight="1">
      <c r="A54" s="731" t="s">
        <v>175</v>
      </c>
      <c r="B54" s="731" t="s">
        <v>176</v>
      </c>
      <c r="C54" s="731" t="s">
        <v>177</v>
      </c>
      <c r="D54" s="731" t="s">
        <v>178</v>
      </c>
      <c r="E54" s="1321"/>
      <c r="F54" s="1321"/>
      <c r="G54" s="1321"/>
      <c r="H54" s="1321"/>
      <c r="I54" s="1140"/>
      <c r="J54" s="1158" t="str">
        <f>I53&amp;".1"</f>
        <v>....1.1</v>
      </c>
      <c r="K54" s="731"/>
      <c r="L54" s="731"/>
      <c r="M54" s="754" t="s">
        <v>410</v>
      </c>
      <c r="Q54" s="1298"/>
      <c r="R54" s="1298">
        <v>1</v>
      </c>
      <c r="S54" s="68"/>
      <c r="T54" s="209"/>
      <c r="U54" s="709" t="str">
        <f>$J54</f>
        <v>....1.1</v>
      </c>
      <c r="V54" s="165" t="s">
        <v>411</v>
      </c>
      <c r="W54" s="171"/>
      <c r="X54" s="1282"/>
      <c r="Y54" s="1283"/>
      <c r="Z54" s="1283"/>
      <c r="AA54" s="1283"/>
      <c r="AB54" s="1283"/>
      <c r="AC54" s="1278"/>
      <c r="AD54" s="1278"/>
      <c r="AE54" s="1278"/>
      <c r="AF54" s="1338"/>
      <c r="AG54" s="1282"/>
      <c r="AH54" s="1283"/>
      <c r="AI54" s="1283"/>
      <c r="AJ54" s="1283"/>
      <c r="AK54" s="1283"/>
      <c r="AL54" s="1283"/>
      <c r="AM54" s="1283"/>
      <c r="AN54" s="1283"/>
      <c r="AO54" s="1283"/>
      <c r="AP54" s="1284"/>
      <c r="AQ54" s="729" t="s">
        <v>412</v>
      </c>
      <c r="AS54" s="69"/>
      <c r="AT54" s="69" t="str">
        <f t="shared" si="2"/>
        <v>Группа потребителей</v>
      </c>
      <c r="AU54" s="69"/>
      <c r="AV54" s="69"/>
      <c r="AW54" s="11">
        <v>21</v>
      </c>
    </row>
    <row r="55" spans="1:49" ht="22.05" customHeight="1">
      <c r="A55" s="731" t="s">
        <v>175</v>
      </c>
      <c r="B55" s="731" t="s">
        <v>176</v>
      </c>
      <c r="C55" s="731" t="s">
        <v>177</v>
      </c>
      <c r="D55" s="731" t="s">
        <v>178</v>
      </c>
      <c r="E55" s="1321"/>
      <c r="F55" s="1321"/>
      <c r="G55" s="1321"/>
      <c r="H55" s="1321"/>
      <c r="I55" s="1140"/>
      <c r="J55" s="1140"/>
      <c r="K55" s="1158" t="str">
        <f>J54&amp;".1"</f>
        <v>....1.1.1</v>
      </c>
      <c r="L55" s="58"/>
      <c r="M55" s="754" t="s">
        <v>413</v>
      </c>
      <c r="Q55" s="1298"/>
      <c r="R55" s="1298"/>
      <c r="S55" s="68">
        <v>1</v>
      </c>
      <c r="T55" s="209"/>
      <c r="U55" s="709" t="str">
        <f>$K55</f>
        <v>....1.1.1</v>
      </c>
      <c r="V55" s="765"/>
      <c r="W55" s="171"/>
      <c r="X55" s="306"/>
      <c r="Y55" s="306"/>
      <c r="Z55" s="306"/>
      <c r="AA55" s="306"/>
      <c r="AB55" s="798"/>
      <c r="AC55" s="1299"/>
      <c r="AD55" s="1168" t="s">
        <v>67</v>
      </c>
      <c r="AE55" s="1299"/>
      <c r="AF55" s="1168" t="s">
        <v>67</v>
      </c>
      <c r="AG55" s="800"/>
      <c r="AH55" s="306"/>
      <c r="AI55" s="306"/>
      <c r="AJ55" s="306"/>
      <c r="AK55" s="728"/>
      <c r="AL55" s="1299"/>
      <c r="AM55" s="1168" t="s">
        <v>67</v>
      </c>
      <c r="AN55" s="1299"/>
      <c r="AO55" s="1168" t="s">
        <v>67</v>
      </c>
      <c r="AP55" s="766"/>
      <c r="AQ55" s="753" t="s">
        <v>453</v>
      </c>
      <c r="AR55" s="68" t="e">
        <f ca="1">STRCHECKDATE(X57:AP57)</f>
        <v>#NAME?</v>
      </c>
      <c r="AS55" s="69"/>
      <c r="AT55" s="69" t="str">
        <f t="shared" si="2"/>
        <v/>
      </c>
      <c r="AU55" s="69"/>
      <c r="AV55" s="69"/>
      <c r="AW55" s="11">
        <v>21</v>
      </c>
    </row>
    <row r="56" spans="1:49" ht="11.55" customHeight="1">
      <c r="A56" s="731" t="s">
        <v>175</v>
      </c>
      <c r="B56" s="731" t="s">
        <v>176</v>
      </c>
      <c r="C56" s="731" t="s">
        <v>177</v>
      </c>
      <c r="D56" s="731" t="s">
        <v>178</v>
      </c>
      <c r="E56" s="1321"/>
      <c r="F56" s="1321"/>
      <c r="G56" s="1321"/>
      <c r="H56" s="1321"/>
      <c r="I56" s="1140"/>
      <c r="J56" s="1140"/>
      <c r="K56" s="1140"/>
      <c r="L56" s="1158" t="str">
        <f>K55&amp;".1"</f>
        <v>....1.1.1.1</v>
      </c>
      <c r="M56" s="754"/>
      <c r="Q56" s="1298"/>
      <c r="R56" s="1298"/>
      <c r="S56" s="68">
        <v>1</v>
      </c>
      <c r="T56" s="209"/>
      <c r="U56" s="709" t="str">
        <f>$L56</f>
        <v>....1.1.1.1</v>
      </c>
      <c r="V56" s="787"/>
      <c r="W56" s="171"/>
      <c r="X56" s="191"/>
      <c r="Y56" s="306"/>
      <c r="Z56" s="306"/>
      <c r="AA56" s="306"/>
      <c r="AB56" s="798"/>
      <c r="AC56" s="1300"/>
      <c r="AD56" s="1168"/>
      <c r="AE56" s="1300"/>
      <c r="AF56" s="1168"/>
      <c r="AG56" s="800"/>
      <c r="AH56" s="306"/>
      <c r="AI56" s="306"/>
      <c r="AJ56" s="306"/>
      <c r="AK56" s="728"/>
      <c r="AL56" s="1300"/>
      <c r="AM56" s="1168"/>
      <c r="AN56" s="1300"/>
      <c r="AO56" s="1168"/>
      <c r="AP56" s="766"/>
      <c r="AQ56" s="1317"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21"/>
      <c r="F57" s="1321"/>
      <c r="G57" s="1321"/>
      <c r="H57" s="1321"/>
      <c r="I57" s="1140"/>
      <c r="J57" s="1140"/>
      <c r="K57" s="1140"/>
      <c r="L57" s="1158"/>
      <c r="M57" s="754"/>
      <c r="Q57" s="1298"/>
      <c r="R57" s="1298"/>
      <c r="S57" s="68"/>
      <c r="T57" s="209"/>
      <c r="U57" s="65"/>
      <c r="V57" s="171"/>
      <c r="W57" s="171"/>
      <c r="X57" s="191"/>
      <c r="Y57" s="191"/>
      <c r="Z57" s="191"/>
      <c r="AA57" s="191"/>
      <c r="AB57" s="799" t="str">
        <f>AC55&amp;"-"&amp;AE55</f>
        <v>-</v>
      </c>
      <c r="AC57" s="1300"/>
      <c r="AD57" s="1168"/>
      <c r="AE57" s="1300"/>
      <c r="AF57" s="1168"/>
      <c r="AG57" s="778"/>
      <c r="AH57" s="191"/>
      <c r="AI57" s="191"/>
      <c r="AJ57" s="191"/>
      <c r="AK57" s="192" t="str">
        <f>AL55&amp;"-"&amp;AN55</f>
        <v>-</v>
      </c>
      <c r="AL57" s="1300"/>
      <c r="AM57" s="1168"/>
      <c r="AN57" s="1300"/>
      <c r="AO57" s="1168"/>
      <c r="AP57" s="767"/>
      <c r="AQ57" s="1318"/>
      <c r="AS57" s="69"/>
      <c r="AT57" s="69" t="str">
        <f t="shared" si="2"/>
        <v/>
      </c>
      <c r="AU57" s="69"/>
      <c r="AV57" s="69"/>
      <c r="AW57" s="11">
        <v>0</v>
      </c>
    </row>
    <row r="58" spans="1:49" ht="11.55" customHeight="1">
      <c r="A58" s="731" t="s">
        <v>175</v>
      </c>
      <c r="B58" s="731" t="s">
        <v>176</v>
      </c>
      <c r="C58" s="731" t="s">
        <v>177</v>
      </c>
      <c r="D58" s="731" t="s">
        <v>178</v>
      </c>
      <c r="E58" s="1321"/>
      <c r="F58" s="1321"/>
      <c r="G58" s="1321"/>
      <c r="H58" s="1321"/>
      <c r="I58" s="1140"/>
      <c r="J58" s="1140"/>
      <c r="K58" s="1158"/>
      <c r="L58" s="731"/>
      <c r="M58" s="754"/>
      <c r="Q58" s="1298"/>
      <c r="R58" s="1298"/>
      <c r="S58" s="122"/>
      <c r="T58" s="208"/>
      <c r="U58" s="742"/>
      <c r="V58" s="167" t="s">
        <v>455</v>
      </c>
      <c r="W58" s="213"/>
      <c r="X58" s="213"/>
      <c r="Y58" s="213"/>
      <c r="Z58" s="213"/>
      <c r="AA58" s="213"/>
      <c r="AB58" s="213"/>
      <c r="AC58" s="1300"/>
      <c r="AD58" s="1168"/>
      <c r="AE58" s="1300"/>
      <c r="AF58" s="1168"/>
      <c r="AG58" s="213"/>
      <c r="AH58" s="213"/>
      <c r="AI58" s="213"/>
      <c r="AJ58" s="213"/>
      <c r="AK58" s="213"/>
      <c r="AL58" s="1300"/>
      <c r="AM58" s="1168"/>
      <c r="AN58" s="1300"/>
      <c r="AO58" s="1168"/>
      <c r="AP58" s="190"/>
      <c r="AQ58" s="1318"/>
      <c r="AS58" s="69"/>
      <c r="AT58" s="69" t="str">
        <f t="shared" si="2"/>
        <v>Добавить наименование поставщика</v>
      </c>
      <c r="AU58" s="69"/>
      <c r="AV58" s="69"/>
      <c r="AW58" s="11">
        <v>11</v>
      </c>
    </row>
    <row r="59" spans="1:49" ht="11.55" customHeight="1">
      <c r="A59" s="731" t="s">
        <v>175</v>
      </c>
      <c r="B59" s="731" t="s">
        <v>176</v>
      </c>
      <c r="C59" s="731" t="s">
        <v>177</v>
      </c>
      <c r="D59" s="731" t="s">
        <v>178</v>
      </c>
      <c r="E59" s="1321"/>
      <c r="F59" s="1321"/>
      <c r="G59" s="1321"/>
      <c r="H59" s="1321"/>
      <c r="I59" s="1140"/>
      <c r="J59" s="1158"/>
      <c r="K59" s="731"/>
      <c r="L59" s="731"/>
      <c r="M59" s="754"/>
      <c r="Q59" s="1298"/>
      <c r="R59" s="1298"/>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19"/>
      <c r="AS59" s="69"/>
      <c r="AT59" s="69" t="str">
        <f t="shared" si="2"/>
        <v>Добавить вид теплоносителя (параметры теплоносителя)</v>
      </c>
      <c r="AU59" s="69"/>
      <c r="AV59" s="69"/>
      <c r="AW59" s="11">
        <v>11</v>
      </c>
    </row>
    <row r="60" spans="1:49" ht="11.55" customHeight="1">
      <c r="A60" s="731" t="s">
        <v>175</v>
      </c>
      <c r="B60" s="731" t="s">
        <v>176</v>
      </c>
      <c r="C60" s="731" t="s">
        <v>177</v>
      </c>
      <c r="D60" s="731" t="s">
        <v>178</v>
      </c>
      <c r="E60" s="1321"/>
      <c r="F60" s="1321"/>
      <c r="G60" s="1321"/>
      <c r="H60" s="1321"/>
      <c r="I60" s="1158"/>
      <c r="J60" s="731"/>
      <c r="K60" s="731"/>
      <c r="L60" s="731"/>
      <c r="M60" s="754"/>
      <c r="Q60" s="1298"/>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21"/>
      <c r="F61" s="1321"/>
      <c r="G61" s="1321"/>
      <c r="H61" s="132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21"/>
      <c r="F62" s="1321"/>
      <c r="G62" s="1320"/>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21"/>
      <c r="F63" s="1320"/>
      <c r="G63" s="774"/>
      <c r="H63" s="774"/>
      <c r="I63" s="774"/>
      <c r="J63" s="774"/>
      <c r="K63" s="774"/>
      <c r="L63" s="774"/>
      <c r="M63" s="775"/>
      <c r="N63" s="777"/>
      <c r="O63" s="777"/>
      <c r="P63" s="203"/>
      <c r="Q63" s="104"/>
      <c r="R63" s="755"/>
      <c r="S63" s="104"/>
      <c r="T63" s="104"/>
      <c r="U63" s="760"/>
      <c r="V63" s="762" t="s">
        <v>275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20"/>
      <c r="F64" s="774"/>
      <c r="G64" s="774"/>
      <c r="H64" s="774"/>
      <c r="I64" s="774"/>
      <c r="J64" s="774"/>
      <c r="K64" s="774"/>
      <c r="L64" s="774"/>
      <c r="M64" s="775"/>
      <c r="N64" s="777"/>
      <c r="O64" s="777"/>
      <c r="P64" s="203"/>
      <c r="Q64" s="104"/>
      <c r="R64" s="755"/>
      <c r="S64" s="104"/>
      <c r="T64" s="104"/>
      <c r="U64" s="760"/>
      <c r="V64" s="762" t="s">
        <v>276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2"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277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55" customHeight="1">
      <c r="N66" s="11"/>
      <c r="O66" s="11"/>
      <c r="P66" s="11"/>
      <c r="Q66" s="11"/>
      <c r="R66" s="11"/>
      <c r="S66" s="11"/>
      <c r="T66" s="11"/>
      <c r="U66" s="11"/>
      <c r="AR66" s="11"/>
      <c r="AS66" s="11"/>
      <c r="AT66" s="11"/>
      <c r="AU66" s="11"/>
      <c r="AV66" s="11"/>
      <c r="AW66" s="11">
        <v>11</v>
      </c>
    </row>
    <row r="67" spans="1:49" ht="35.700000000000003" customHeight="1">
      <c r="P67" s="11"/>
      <c r="U67" s="198"/>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W67" s="11">
        <v>34</v>
      </c>
    </row>
    <row r="68" spans="1:49" ht="21" customHeight="1">
      <c r="P68" s="11"/>
      <c r="V68" s="1293"/>
      <c r="W68" s="1293"/>
      <c r="X68" s="1293"/>
      <c r="Y68" s="1293"/>
      <c r="Z68" s="1293"/>
      <c r="AA68" s="1293"/>
      <c r="AB68" s="1293"/>
      <c r="AC68" s="1293"/>
      <c r="AD68" s="1293"/>
      <c r="AE68" s="1293"/>
      <c r="AF68" s="1293"/>
      <c r="AG68" s="1293"/>
      <c r="AH68" s="1293"/>
      <c r="AI68" s="1293"/>
      <c r="AJ68" s="1293"/>
      <c r="AK68" s="1293"/>
      <c r="AL68" s="1293"/>
      <c r="AM68" s="1293"/>
      <c r="AN68" s="1293"/>
      <c r="AO68" s="1293"/>
      <c r="AP68" s="1293"/>
      <c r="AQ68" s="1293"/>
      <c r="AW68" s="11">
        <v>20</v>
      </c>
    </row>
    <row r="69" spans="1:49" ht="14.7" customHeight="1">
      <c r="P69" s="11"/>
      <c r="AW69" s="11">
        <v>14</v>
      </c>
    </row>
    <row r="70" spans="1:49" ht="28.5" customHeight="1">
      <c r="P70" s="11"/>
      <c r="V70" s="1293"/>
      <c r="W70" s="1293"/>
      <c r="X70" s="1293"/>
      <c r="Y70" s="1293"/>
      <c r="Z70" s="1293"/>
      <c r="AA70" s="1293"/>
      <c r="AB70" s="1293"/>
      <c r="AC70" s="1293"/>
      <c r="AD70" s="1293"/>
      <c r="AE70" s="1293"/>
      <c r="AF70" s="1293"/>
      <c r="AG70" s="1293"/>
      <c r="AH70" s="1293"/>
      <c r="AI70" s="1293"/>
      <c r="AJ70" s="1293"/>
      <c r="AK70" s="1293"/>
      <c r="AL70" s="1293"/>
      <c r="AM70" s="1293"/>
      <c r="AN70" s="1293"/>
      <c r="AO70" s="1293"/>
      <c r="AP70" s="1293"/>
      <c r="AQ70" s="1293"/>
      <c r="AW70" s="11">
        <v>27</v>
      </c>
    </row>
    <row r="71" spans="1:49" ht="18.75" customHeight="1">
      <c r="P71" s="11"/>
      <c r="V71" s="1293"/>
      <c r="W71" s="1293"/>
      <c r="X71" s="1293"/>
      <c r="Y71" s="1293"/>
      <c r="Z71" s="1293"/>
      <c r="AA71" s="1293"/>
      <c r="AB71" s="1293"/>
      <c r="AC71" s="1293"/>
      <c r="AD71" s="1293"/>
      <c r="AE71" s="1293"/>
      <c r="AF71" s="1293"/>
      <c r="AG71" s="1293"/>
      <c r="AH71" s="1293"/>
      <c r="AI71" s="1293"/>
      <c r="AJ71" s="1293"/>
      <c r="AK71" s="1293"/>
      <c r="AL71" s="1293"/>
      <c r="AM71" s="1293"/>
      <c r="AN71" s="1293"/>
      <c r="AO71" s="1293"/>
      <c r="AP71" s="1293"/>
      <c r="AQ71" s="1293"/>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7" sqref="I67"/>
    </sheetView>
  </sheetViews>
  <sheetFormatPr defaultColWidth="9.125" defaultRowHeight="11.25" customHeight="1"/>
  <cols>
    <col min="1" max="1" width="10.75" style="448" hidden="1" customWidth="1"/>
    <col min="2" max="2" width="10.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PP108.OPEN.INFO.PRICE.VOTV.EIAS</v>
      </c>
      <c r="F2" s="159"/>
      <c r="G2" s="33"/>
      <c r="H2" s="33"/>
      <c r="I2" s="33"/>
      <c r="J2" s="506"/>
      <c r="K2" s="33"/>
      <c r="Q2" s="8">
        <v>14</v>
      </c>
    </row>
    <row r="3" spans="1:17" ht="14.7" customHeight="1">
      <c r="E3" s="144" t="str">
        <f>version</f>
        <v>Версия отчёта: 1.1.1</v>
      </c>
      <c r="F3" s="159"/>
      <c r="G3"/>
      <c r="H3"/>
      <c r="I3"/>
      <c r="J3" s="62"/>
      <c r="K3"/>
      <c r="Q3" s="11">
        <v>14</v>
      </c>
    </row>
    <row r="4" spans="1:17" s="136" customFormat="1" ht="6.3" customHeight="1">
      <c r="A4" s="448"/>
      <c r="B4" s="132"/>
      <c r="C4" s="133"/>
      <c r="D4" s="134"/>
      <c r="F4" s="143"/>
      <c r="G4" s="58"/>
      <c r="H4" s="11"/>
      <c r="I4" s="234"/>
      <c r="J4" s="404"/>
      <c r="Q4" s="136">
        <v>6</v>
      </c>
    </row>
    <row r="5" spans="1:17" ht="39.75" customHeight="1">
      <c r="D5" s="12"/>
      <c r="E5" s="1139" t="str">
        <f>NameTemplatesInTitle</f>
        <v>Показатели, подлежащие раскрытию в сфере водоотведения (цены и тарифы)</v>
      </c>
      <c r="F5" s="1140"/>
      <c r="G5" s="441"/>
      <c r="J5" s="507"/>
      <c r="Q5" s="11">
        <v>38</v>
      </c>
    </row>
    <row r="6" spans="1:17" s="136" customFormat="1" ht="6.3"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3"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42" t="s">
        <v>20</v>
      </c>
      <c r="D11" s="12"/>
      <c r="E11" s="222" t="s">
        <v>21</v>
      </c>
      <c r="F11" s="941">
        <v>46023</v>
      </c>
      <c r="G11" s="14"/>
      <c r="H11" s="442" t="s">
        <v>22</v>
      </c>
      <c r="J11" s="63" t="s">
        <v>23</v>
      </c>
      <c r="Q11" s="11">
        <v>0</v>
      </c>
    </row>
    <row r="12" spans="1:17" ht="22.5" customHeight="1">
      <c r="A12" s="1142"/>
      <c r="D12" s="12"/>
      <c r="E12" s="222" t="s">
        <v>24</v>
      </c>
      <c r="F12" s="941">
        <v>46387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3"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41"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41"/>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45999</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3"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5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3"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t="s">
        <v>19</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62</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63</v>
      </c>
      <c r="F53" s="619" t="s">
        <v>19</v>
      </c>
      <c r="G53" s="58"/>
      <c r="I53" s="301"/>
      <c r="J53" s="63"/>
      <c r="P53" s="302"/>
      <c r="Q53" s="11">
        <v>0</v>
      </c>
    </row>
    <row r="54" spans="1:17" s="11" customFormat="1" ht="27" hidden="1" customHeight="1">
      <c r="A54" s="450"/>
      <c r="B54" s="30"/>
      <c r="C54" s="9"/>
      <c r="D54" s="234"/>
      <c r="E54" s="222" t="s">
        <v>64</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65</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66</v>
      </c>
      <c r="F58" s="619" t="s">
        <v>67</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67</v>
      </c>
      <c r="G62" s="10"/>
      <c r="H62" s="442" t="s">
        <v>22</v>
      </c>
      <c r="I62" s="234"/>
      <c r="J62" s="63"/>
      <c r="Q62" s="11">
        <v>0</v>
      </c>
    </row>
    <row r="63" spans="1:17" s="136" customFormat="1" ht="6.3" customHeight="1">
      <c r="A63" s="449"/>
      <c r="B63" s="132"/>
      <c r="C63" s="133"/>
      <c r="D63" s="139"/>
      <c r="E63" s="137"/>
      <c r="F63" s="140"/>
      <c r="G63" s="14"/>
      <c r="H63" s="11"/>
      <c r="I63" s="234"/>
      <c r="J63" s="404"/>
      <c r="Q63" s="136">
        <v>6</v>
      </c>
    </row>
    <row r="64" spans="1:17" ht="21"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0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55" customHeight="1">
      <c r="Q76" s="11">
        <v>11</v>
      </c>
    </row>
    <row r="77" spans="1:17" ht="11.55" customHeight="1">
      <c r="Q77" s="11">
        <v>11</v>
      </c>
    </row>
    <row r="78" spans="1:17" ht="11.5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25" style="11" customWidth="1"/>
    <col min="22" max="23" width="21.75" style="11" hidden="1" customWidth="1"/>
    <col min="24" max="24" width="11.75" style="11" hidden="1" customWidth="1"/>
    <col min="25" max="25" width="3.75" style="11" hidden="1" customWidth="1"/>
    <col min="26" max="26" width="11.75" style="11" hidden="1" customWidth="1"/>
    <col min="27" max="27" width="8.625" style="11" hidden="1" customWidth="1"/>
    <col min="28" max="28" width="5.375" style="11" customWidth="1"/>
    <col min="29" max="30" width="3" style="11" customWidth="1"/>
    <col min="31" max="31" width="24" style="11" customWidth="1"/>
    <col min="32" max="32" width="3.75" style="11" customWidth="1"/>
    <col min="33" max="34" width="3" style="11" customWidth="1"/>
    <col min="35" max="35" width="24" style="11" customWidth="1"/>
    <col min="36" max="36" width="3.75" style="11" customWidth="1"/>
    <col min="37" max="38" width="3" style="11" customWidth="1"/>
    <col min="39" max="39" width="18" style="11" customWidth="1"/>
    <col min="40" max="41" width="21" style="11" customWidth="1"/>
    <col min="42" max="42" width="11" style="11" customWidth="1"/>
    <col min="43" max="43" width="3.75" style="11" customWidth="1"/>
    <col min="44" max="44" width="11" style="11" customWidth="1"/>
    <col min="45" max="45" width="8.625" style="11" hidden="1" customWidth="1"/>
    <col min="46" max="46" width="4" style="11" customWidth="1"/>
    <col min="47" max="47" width="115" style="11" customWidth="1"/>
    <col min="48" max="52" width="10" style="68" customWidth="1"/>
    <col min="53" max="53" width="10.625" style="11" hidden="1"/>
  </cols>
  <sheetData>
    <row r="1" spans="1:53" ht="22.5" hidden="1" customHeight="1">
      <c r="BA1" s="11" t="s">
        <v>14</v>
      </c>
    </row>
    <row r="2" spans="1:53" ht="21" hidden="1" customHeight="1">
      <c r="A2" s="769"/>
      <c r="B2" s="769"/>
      <c r="C2" s="769"/>
      <c r="D2" s="769"/>
      <c r="E2" s="1294">
        <v>1</v>
      </c>
      <c r="F2" s="769"/>
      <c r="G2" s="769"/>
      <c r="H2" s="769"/>
      <c r="I2" s="769"/>
      <c r="J2" s="769"/>
      <c r="K2" s="769"/>
      <c r="L2" s="770"/>
      <c r="M2" s="426"/>
      <c r="N2" s="426"/>
      <c r="O2" s="426"/>
      <c r="Q2" s="62"/>
      <c r="R2" s="207"/>
      <c r="S2" s="709" t="e">
        <f>INDEX(PT_DIFFERENTIATION_NUM_NTAR,MATCH(A2,PT_DIFFERENTIATION_NTAR_ID,0))</f>
        <v>#N/A</v>
      </c>
      <c r="T2" s="67" t="s">
        <v>124</v>
      </c>
      <c r="U2" s="171"/>
      <c r="V2" s="1289"/>
      <c r="W2" s="1289"/>
      <c r="X2" s="1289"/>
      <c r="Y2" s="1289"/>
      <c r="Z2" s="1289"/>
      <c r="AA2" s="1290"/>
      <c r="AB2" s="1288" t="e">
        <f>INDEX(PT_DIFFERENTIATION_NTAR,MATCH(A2,PT_DIFFERENTIATION_NTAR_ID,0))</f>
        <v>#N/A</v>
      </c>
      <c r="AC2" s="1289"/>
      <c r="AD2" s="1289"/>
      <c r="AE2" s="1289"/>
      <c r="AF2" s="1289"/>
      <c r="AG2" s="1289"/>
      <c r="AH2" s="1289"/>
      <c r="AI2" s="1289"/>
      <c r="AJ2" s="1289"/>
      <c r="AK2" s="1289"/>
      <c r="AL2" s="1289"/>
      <c r="AM2" s="1289"/>
      <c r="AN2" s="1289"/>
      <c r="AO2" s="1289"/>
      <c r="AP2" s="1289"/>
      <c r="AQ2" s="1289"/>
      <c r="AR2" s="1289"/>
      <c r="AS2" s="1289"/>
      <c r="AT2" s="1290"/>
      <c r="AU2" s="729" t="s">
        <v>400</v>
      </c>
      <c r="AW2" s="69"/>
      <c r="AX2" s="69" t="str">
        <f t="shared" ref="AX2:AX8" si="0">IF(T2="","",T2)</f>
        <v>Наименование тарифа</v>
      </c>
      <c r="AY2" s="69"/>
      <c r="AZ2" s="69"/>
      <c r="BA2" s="11">
        <v>0</v>
      </c>
    </row>
    <row r="3" spans="1:53" ht="21" hidden="1" customHeight="1">
      <c r="A3" s="769"/>
      <c r="B3" s="769"/>
      <c r="C3" s="769"/>
      <c r="D3" s="769"/>
      <c r="E3" s="1295"/>
      <c r="F3" s="1294">
        <v>1</v>
      </c>
      <c r="G3" s="769"/>
      <c r="H3" s="769"/>
      <c r="I3" s="769"/>
      <c r="J3" s="769"/>
      <c r="K3" s="769"/>
      <c r="L3" s="770"/>
      <c r="M3" s="426"/>
      <c r="N3" s="426"/>
      <c r="O3" s="426"/>
      <c r="P3" s="301"/>
      <c r="Q3" s="802"/>
      <c r="R3" s="205"/>
      <c r="S3" s="709" t="e">
        <f>INDEX(PT_DIFFERENTIATION_NUM_TER,MATCH(B3,PT_DIFFERENTIATION_TER_ID,0))</f>
        <v>#N/A</v>
      </c>
      <c r="T3" s="177" t="s">
        <v>401</v>
      </c>
      <c r="U3" s="171"/>
      <c r="V3" s="1289"/>
      <c r="W3" s="1289"/>
      <c r="X3" s="1289"/>
      <c r="Y3" s="1289"/>
      <c r="Z3" s="1289"/>
      <c r="AA3" s="1290"/>
      <c r="AB3" s="1288" t="e">
        <f>INDEX(PT_DIFFERENTIATION_TER,MATCH(B3,PT_DIFFERENTIATION_TER_ID,0))</f>
        <v>#N/A</v>
      </c>
      <c r="AC3" s="1289"/>
      <c r="AD3" s="1289"/>
      <c r="AE3" s="1289"/>
      <c r="AF3" s="1289"/>
      <c r="AG3" s="1289"/>
      <c r="AH3" s="1289"/>
      <c r="AI3" s="1289"/>
      <c r="AJ3" s="1289"/>
      <c r="AK3" s="1289"/>
      <c r="AL3" s="1289"/>
      <c r="AM3" s="1289"/>
      <c r="AN3" s="1289"/>
      <c r="AO3" s="1289"/>
      <c r="AP3" s="1289"/>
      <c r="AQ3" s="1289"/>
      <c r="AR3" s="1289"/>
      <c r="AS3" s="1289"/>
      <c r="AT3" s="1290"/>
      <c r="AU3" s="729" t="s">
        <v>402</v>
      </c>
      <c r="AW3" s="69"/>
      <c r="AX3" s="69" t="str">
        <f t="shared" si="0"/>
        <v>Территория действия тарифа</v>
      </c>
      <c r="AY3" s="69"/>
      <c r="AZ3" s="69"/>
      <c r="BA3" s="11">
        <v>0</v>
      </c>
    </row>
    <row r="4" spans="1:53" ht="22.5" hidden="1" customHeight="1">
      <c r="A4" s="769"/>
      <c r="B4" s="769"/>
      <c r="C4" s="769"/>
      <c r="D4" s="769"/>
      <c r="E4" s="1295"/>
      <c r="F4" s="1295"/>
      <c r="G4" s="1294">
        <v>1</v>
      </c>
      <c r="H4" s="769"/>
      <c r="I4" s="769"/>
      <c r="J4" s="769"/>
      <c r="K4" s="769"/>
      <c r="L4" s="770"/>
      <c r="M4" s="426"/>
      <c r="N4" s="426"/>
      <c r="O4" s="426"/>
      <c r="P4" s="131"/>
      <c r="Q4" s="802"/>
      <c r="R4" s="205"/>
      <c r="S4" s="709" t="e">
        <f>INDEX(PT_DIFFERENTIATION_NUM_CS,MATCH(C4,PT_DIFFERENTIATION_CS_ID,0))</f>
        <v>#N/A</v>
      </c>
      <c r="T4" s="178" t="s">
        <v>403</v>
      </c>
      <c r="U4" s="171"/>
      <c r="V4" s="1289"/>
      <c r="W4" s="1289"/>
      <c r="X4" s="1289"/>
      <c r="Y4" s="1289"/>
      <c r="Z4" s="1289"/>
      <c r="AA4" s="1290"/>
      <c r="AB4" s="1288" t="e">
        <f>INDEX(PT_DIFFERENTIATION_CS,MATCH(C4,PT_DIFFERENTIATION_CS_ID,0))</f>
        <v>#N/A</v>
      </c>
      <c r="AC4" s="1289"/>
      <c r="AD4" s="1289"/>
      <c r="AE4" s="1289"/>
      <c r="AF4" s="1289"/>
      <c r="AG4" s="1289"/>
      <c r="AH4" s="1289"/>
      <c r="AI4" s="1289"/>
      <c r="AJ4" s="1289"/>
      <c r="AK4" s="1289"/>
      <c r="AL4" s="1289"/>
      <c r="AM4" s="1289"/>
      <c r="AN4" s="1289"/>
      <c r="AO4" s="1289"/>
      <c r="AP4" s="1289"/>
      <c r="AQ4" s="1289"/>
      <c r="AR4" s="1289"/>
      <c r="AS4" s="1289"/>
      <c r="AT4" s="1290"/>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95"/>
      <c r="F5" s="1295"/>
      <c r="G5" s="1295"/>
      <c r="H5" s="1294">
        <v>1</v>
      </c>
      <c r="I5" s="769"/>
      <c r="J5" s="769"/>
      <c r="K5" s="769"/>
      <c r="L5" s="770"/>
      <c r="M5" s="426"/>
      <c r="N5" s="426"/>
      <c r="O5" s="426"/>
      <c r="P5" s="131"/>
      <c r="Q5" s="802"/>
      <c r="R5" s="205"/>
      <c r="S5" s="709" t="e">
        <f>INDEX(PT_DIFFERENTIATION_NUM_IST_TE,MATCH(D5,PT_DIFFERENTIATION_IST_TE_ID,0))</f>
        <v>#N/A</v>
      </c>
      <c r="T5" s="179" t="s">
        <v>405</v>
      </c>
      <c r="U5" s="171"/>
      <c r="V5" s="1289"/>
      <c r="W5" s="1289"/>
      <c r="X5" s="1289"/>
      <c r="Y5" s="1289"/>
      <c r="Z5" s="1289"/>
      <c r="AA5" s="1290"/>
      <c r="AB5" s="1288" t="e">
        <f>INDEX(PT_DIFFERENTIATION_IST_TE,MATCH(D5,PT_DIFFERENTIATION_IST_TE_ID,0))</f>
        <v>#N/A</v>
      </c>
      <c r="AC5" s="1289"/>
      <c r="AD5" s="1289"/>
      <c r="AE5" s="1289"/>
      <c r="AF5" s="1289"/>
      <c r="AG5" s="1289"/>
      <c r="AH5" s="1289"/>
      <c r="AI5" s="1289"/>
      <c r="AJ5" s="1289"/>
      <c r="AK5" s="1289"/>
      <c r="AL5" s="1289"/>
      <c r="AM5" s="1289"/>
      <c r="AN5" s="1289"/>
      <c r="AO5" s="1289"/>
      <c r="AP5" s="1289"/>
      <c r="AQ5" s="1289"/>
      <c r="AR5" s="1289"/>
      <c r="AS5" s="1289"/>
      <c r="AT5" s="1290"/>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95"/>
      <c r="F6" s="1295"/>
      <c r="G6" s="1295"/>
      <c r="H6" s="1295"/>
      <c r="I6" s="1296" t="e">
        <f>S5&amp;".1"</f>
        <v>#N/A</v>
      </c>
      <c r="J6" s="145"/>
      <c r="K6" s="145"/>
      <c r="L6" s="346" t="s">
        <v>407</v>
      </c>
      <c r="M6" s="290"/>
      <c r="N6" s="290"/>
      <c r="O6" s="290"/>
      <c r="P6" s="1298">
        <v>1</v>
      </c>
      <c r="Q6" s="122"/>
      <c r="R6" s="208"/>
      <c r="S6" s="362"/>
      <c r="T6" s="779"/>
      <c r="U6" s="780"/>
      <c r="V6" s="1326"/>
      <c r="W6" s="1326"/>
      <c r="X6" s="1326"/>
      <c r="Y6" s="1326"/>
      <c r="Z6" s="1326"/>
      <c r="AA6" s="1327"/>
      <c r="AB6" s="1325"/>
      <c r="AC6" s="1326"/>
      <c r="AD6" s="1326"/>
      <c r="AE6" s="1326"/>
      <c r="AF6" s="1326"/>
      <c r="AG6" s="1326"/>
      <c r="AH6" s="1326"/>
      <c r="AI6" s="1326"/>
      <c r="AJ6" s="1326"/>
      <c r="AK6" s="1326"/>
      <c r="AL6" s="1326"/>
      <c r="AM6" s="1326"/>
      <c r="AN6" s="1326"/>
      <c r="AO6" s="1326"/>
      <c r="AP6" s="1326"/>
      <c r="AQ6" s="1326"/>
      <c r="AR6" s="1326"/>
      <c r="AS6" s="1326"/>
      <c r="AT6" s="1327"/>
      <c r="AU6" s="781"/>
      <c r="AW6" s="69"/>
      <c r="AX6" s="69" t="str">
        <f t="shared" si="0"/>
        <v/>
      </c>
      <c r="AY6" s="69"/>
      <c r="AZ6" s="69"/>
      <c r="BA6" s="68">
        <v>0</v>
      </c>
    </row>
    <row r="7" spans="1:53" s="68" customFormat="1" ht="0.75" hidden="1" customHeight="1">
      <c r="A7" s="145"/>
      <c r="B7" s="145"/>
      <c r="C7" s="145"/>
      <c r="D7" s="145"/>
      <c r="E7" s="1295"/>
      <c r="F7" s="1295"/>
      <c r="G7" s="1295"/>
      <c r="H7" s="1295"/>
      <c r="I7" s="1297"/>
      <c r="J7" s="1296" t="e">
        <f>S5&amp;".1"</f>
        <v>#N/A</v>
      </c>
      <c r="K7" s="145"/>
      <c r="L7" s="346"/>
      <c r="M7" s="290"/>
      <c r="N7" s="290"/>
      <c r="O7" s="290"/>
      <c r="P7" s="1298"/>
      <c r="Q7" s="1298">
        <v>1</v>
      </c>
      <c r="R7" s="209"/>
      <c r="S7" s="362"/>
      <c r="T7" s="794"/>
      <c r="U7" s="780"/>
      <c r="V7" s="1326"/>
      <c r="W7" s="1326"/>
      <c r="X7" s="1326"/>
      <c r="Y7" s="1326"/>
      <c r="Z7" s="1326"/>
      <c r="AA7" s="1327"/>
      <c r="AB7" s="1325"/>
      <c r="AC7" s="1326"/>
      <c r="AD7" s="1326"/>
      <c r="AE7" s="1326"/>
      <c r="AF7" s="1326"/>
      <c r="AG7" s="1326"/>
      <c r="AH7" s="1326"/>
      <c r="AI7" s="1326"/>
      <c r="AJ7" s="1326"/>
      <c r="AK7" s="1326"/>
      <c r="AL7" s="1326"/>
      <c r="AM7" s="1326"/>
      <c r="AN7" s="1326"/>
      <c r="AO7" s="1326"/>
      <c r="AP7" s="1326"/>
      <c r="AQ7" s="1326"/>
      <c r="AR7" s="1326"/>
      <c r="AS7" s="1326"/>
      <c r="AT7" s="1327"/>
      <c r="AU7" s="781"/>
      <c r="AW7" s="69"/>
      <c r="AX7" s="69" t="str">
        <f t="shared" si="0"/>
        <v/>
      </c>
      <c r="AY7" s="69"/>
      <c r="AZ7" s="69"/>
      <c r="BA7" s="68">
        <v>0</v>
      </c>
    </row>
    <row r="8" spans="1:53" ht="21" hidden="1" customHeight="1">
      <c r="A8" s="769"/>
      <c r="B8" s="769"/>
      <c r="C8" s="769"/>
      <c r="D8" s="769"/>
      <c r="E8" s="1295"/>
      <c r="F8" s="1295"/>
      <c r="G8" s="1295"/>
      <c r="H8" s="1295"/>
      <c r="I8" s="1297"/>
      <c r="J8" s="1297"/>
      <c r="K8" s="1296" t="e">
        <f>S5&amp;".1"</f>
        <v>#N/A</v>
      </c>
      <c r="L8" s="770"/>
      <c r="P8" s="1298"/>
      <c r="Q8" s="1298"/>
      <c r="R8" s="1354">
        <v>1</v>
      </c>
      <c r="S8" s="1351" t="e">
        <f>$K8</f>
        <v>#N/A</v>
      </c>
      <c r="T8" s="1348"/>
      <c r="U8" s="171"/>
      <c r="V8" s="306"/>
      <c r="W8" s="728"/>
      <c r="X8" s="1299"/>
      <c r="Y8" s="1168" t="s">
        <v>67</v>
      </c>
      <c r="Z8" s="1299"/>
      <c r="AA8" s="1168" t="s">
        <v>67</v>
      </c>
      <c r="AB8" s="1168" t="s">
        <v>19</v>
      </c>
      <c r="AC8" s="1347"/>
      <c r="AD8" s="1251">
        <v>1</v>
      </c>
      <c r="AE8" s="1361"/>
      <c r="AF8" s="1168" t="s">
        <v>19</v>
      </c>
      <c r="AG8" s="1347"/>
      <c r="AH8" s="1251">
        <v>1</v>
      </c>
      <c r="AI8" s="1361"/>
      <c r="AJ8" s="1168" t="s">
        <v>19</v>
      </c>
      <c r="AK8" s="180"/>
      <c r="AL8" s="268">
        <v>1</v>
      </c>
      <c r="AM8" s="619"/>
      <c r="AN8" s="306"/>
      <c r="AO8" s="728"/>
      <c r="AP8" s="943"/>
      <c r="AQ8" s="297" t="s">
        <v>67</v>
      </c>
      <c r="AR8" s="943"/>
      <c r="AS8" s="297" t="s">
        <v>67</v>
      </c>
      <c r="AT8" s="766"/>
      <c r="AU8" s="1317" t="s">
        <v>465</v>
      </c>
      <c r="AV8" s="68" t="e">
        <f ca="1">STRCHECKDATE(V11:AT11)</f>
        <v>#NAME?</v>
      </c>
      <c r="AW8" s="69"/>
      <c r="AX8" s="69" t="str">
        <f t="shared" si="0"/>
        <v/>
      </c>
      <c r="AY8" s="69"/>
      <c r="AZ8" s="69"/>
      <c r="BA8" s="11">
        <v>0</v>
      </c>
    </row>
    <row r="9" spans="1:53" ht="11.25" hidden="1" customHeight="1">
      <c r="A9" s="769"/>
      <c r="B9" s="769"/>
      <c r="C9" s="769"/>
      <c r="D9" s="769"/>
      <c r="E9" s="1295"/>
      <c r="F9" s="1295"/>
      <c r="G9" s="1295"/>
      <c r="H9" s="1295"/>
      <c r="I9" s="1297"/>
      <c r="J9" s="1297"/>
      <c r="K9" s="1296"/>
      <c r="L9" s="770"/>
      <c r="P9" s="1298"/>
      <c r="Q9" s="1298"/>
      <c r="R9" s="1354"/>
      <c r="S9" s="1352"/>
      <c r="T9" s="1349"/>
      <c r="U9" s="171"/>
      <c r="V9" s="789"/>
      <c r="W9" s="793"/>
      <c r="X9" s="1299"/>
      <c r="Y9" s="1168"/>
      <c r="Z9" s="1299"/>
      <c r="AA9" s="1168"/>
      <c r="AB9" s="1168"/>
      <c r="AC9" s="1347"/>
      <c r="AD9" s="1251"/>
      <c r="AE9" s="1361"/>
      <c r="AF9" s="1168"/>
      <c r="AG9" s="1347"/>
      <c r="AH9" s="1251"/>
      <c r="AI9" s="1361"/>
      <c r="AJ9" s="1168"/>
      <c r="AK9" s="184"/>
      <c r="AL9" s="52"/>
      <c r="AM9" s="110" t="s">
        <v>466</v>
      </c>
      <c r="AN9" s="789"/>
      <c r="AO9" s="819"/>
      <c r="AP9" s="789"/>
      <c r="AQ9" s="789"/>
      <c r="AR9" s="789"/>
      <c r="AS9" s="789"/>
      <c r="AT9" s="786"/>
      <c r="AU9" s="1318"/>
      <c r="AW9" s="69"/>
      <c r="AX9" s="69"/>
      <c r="AY9" s="69"/>
      <c r="AZ9" s="69"/>
      <c r="BA9" s="11">
        <v>0</v>
      </c>
    </row>
    <row r="10" spans="1:53" ht="11.25" hidden="1" customHeight="1">
      <c r="A10" s="769"/>
      <c r="B10" s="769"/>
      <c r="C10" s="769"/>
      <c r="D10" s="769"/>
      <c r="E10" s="1295"/>
      <c r="F10" s="1295"/>
      <c r="G10" s="1295"/>
      <c r="H10" s="1295"/>
      <c r="I10" s="1297"/>
      <c r="J10" s="1297"/>
      <c r="K10" s="1296"/>
      <c r="L10" s="770"/>
      <c r="P10" s="1298"/>
      <c r="Q10" s="1298"/>
      <c r="R10" s="1354"/>
      <c r="S10" s="1352"/>
      <c r="T10" s="1349"/>
      <c r="U10" s="171"/>
      <c r="V10" s="789"/>
      <c r="W10" s="793"/>
      <c r="X10" s="1299"/>
      <c r="Y10" s="1168"/>
      <c r="Z10" s="1299"/>
      <c r="AA10" s="1168"/>
      <c r="AB10" s="1168"/>
      <c r="AC10" s="1347"/>
      <c r="AD10" s="1251"/>
      <c r="AE10" s="1361"/>
      <c r="AF10" s="1168"/>
      <c r="AG10" s="169"/>
      <c r="AH10" s="110"/>
      <c r="AI10" s="110" t="s">
        <v>467</v>
      </c>
      <c r="AJ10" s="789"/>
      <c r="AK10" s="789"/>
      <c r="AL10" s="789"/>
      <c r="AM10" s="789"/>
      <c r="AN10" s="789"/>
      <c r="AO10" s="819"/>
      <c r="AP10" s="789"/>
      <c r="AQ10" s="789"/>
      <c r="AR10" s="789"/>
      <c r="AS10" s="789"/>
      <c r="AT10" s="786"/>
      <c r="AU10" s="1318"/>
      <c r="AW10" s="69"/>
      <c r="AX10" s="69"/>
      <c r="AY10" s="69"/>
      <c r="AZ10" s="69"/>
      <c r="BA10" s="11">
        <v>0</v>
      </c>
    </row>
    <row r="11" spans="1:53" ht="11.25" hidden="1" customHeight="1">
      <c r="A11" s="769"/>
      <c r="B11" s="769"/>
      <c r="C11" s="769"/>
      <c r="D11" s="769"/>
      <c r="E11" s="1295"/>
      <c r="F11" s="1295"/>
      <c r="G11" s="1295"/>
      <c r="H11" s="1295"/>
      <c r="I11" s="1297"/>
      <c r="J11" s="1297"/>
      <c r="K11" s="1296"/>
      <c r="L11" s="770"/>
      <c r="P11" s="1298"/>
      <c r="Q11" s="1298"/>
      <c r="R11" s="1354"/>
      <c r="S11" s="1353"/>
      <c r="T11" s="1350"/>
      <c r="U11" s="171"/>
      <c r="V11" s="789"/>
      <c r="W11" s="792" t="str">
        <f>X8&amp;"-"&amp;Z8</f>
        <v>-</v>
      </c>
      <c r="X11" s="1300"/>
      <c r="Y11" s="1168"/>
      <c r="Z11" s="1300"/>
      <c r="AA11" s="1168"/>
      <c r="AB11" s="1168"/>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18"/>
      <c r="AW11" s="69"/>
      <c r="AX11" s="69" t="str">
        <f t="shared" ref="AX11:AX17" si="1">IF(T11="","",T11)</f>
        <v/>
      </c>
      <c r="AY11" s="69"/>
      <c r="AZ11" s="69"/>
      <c r="BA11" s="11">
        <v>0</v>
      </c>
    </row>
    <row r="12" spans="1:53" ht="11.25" hidden="1" customHeight="1">
      <c r="A12" s="769"/>
      <c r="B12" s="769"/>
      <c r="C12" s="769"/>
      <c r="D12" s="769"/>
      <c r="E12" s="1295"/>
      <c r="F12" s="1295"/>
      <c r="G12" s="1295"/>
      <c r="H12" s="1295"/>
      <c r="I12" s="1297"/>
      <c r="J12" s="1296"/>
      <c r="K12" s="769"/>
      <c r="L12" s="770"/>
      <c r="P12" s="1298"/>
      <c r="Q12" s="1298"/>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9"/>
      <c r="AW12" s="69"/>
      <c r="AX12" s="69" t="str">
        <f t="shared" si="1"/>
        <v>Добавить строку</v>
      </c>
      <c r="AY12" s="69"/>
      <c r="AZ12" s="69"/>
      <c r="BA12" s="11">
        <v>0</v>
      </c>
    </row>
    <row r="13" spans="1:53" s="68" customFormat="1" ht="0.75" hidden="1" customHeight="1">
      <c r="A13" s="145"/>
      <c r="B13" s="145"/>
      <c r="C13" s="145"/>
      <c r="D13" s="145"/>
      <c r="E13" s="1295"/>
      <c r="F13" s="1295"/>
      <c r="G13" s="1295"/>
      <c r="H13" s="1295"/>
      <c r="I13" s="1296"/>
      <c r="J13" s="145"/>
      <c r="K13" s="145"/>
      <c r="L13" s="346"/>
      <c r="M13" s="290"/>
      <c r="N13" s="290"/>
      <c r="O13" s="290"/>
      <c r="P13" s="129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5"/>
      <c r="F14" s="1295"/>
      <c r="G14" s="1295"/>
      <c r="H14" s="129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5"/>
      <c r="F15" s="1295"/>
      <c r="G15" s="1294"/>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5"/>
      <c r="F16" s="1294"/>
      <c r="G16" s="145"/>
      <c r="H16" s="145"/>
      <c r="I16" s="145"/>
      <c r="J16" s="145"/>
      <c r="K16" s="145"/>
      <c r="L16" s="346"/>
      <c r="M16" s="759"/>
      <c r="N16" s="759"/>
      <c r="P16" s="104"/>
      <c r="Q16" s="755"/>
      <c r="R16" s="104"/>
      <c r="S16" s="760"/>
      <c r="T16" s="762" t="s">
        <v>275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4"/>
      <c r="F17" s="145"/>
      <c r="G17" s="145"/>
      <c r="H17" s="145"/>
      <c r="I17" s="145"/>
      <c r="J17" s="145"/>
      <c r="K17" s="145"/>
      <c r="L17" s="346"/>
      <c r="M17" s="759"/>
      <c r="N17" s="759"/>
      <c r="P17" s="104"/>
      <c r="Q17" s="755"/>
      <c r="R17" s="104"/>
      <c r="S17" s="760"/>
      <c r="T17" s="762" t="s">
        <v>276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67</v>
      </c>
      <c r="AR19" s="945"/>
      <c r="AS19" s="816" t="s">
        <v>67</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7" customHeight="1">
      <c r="Q26" s="168"/>
      <c r="R26" s="28"/>
      <c r="S26" s="739"/>
      <c r="T26" s="10"/>
      <c r="U26" s="10"/>
      <c r="BA26" s="11">
        <v>14</v>
      </c>
    </row>
    <row r="27" spans="1:53" ht="27.3" customHeight="1">
      <c r="Q27" s="168"/>
      <c r="R27" s="28"/>
      <c r="S27" s="12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5"/>
      <c r="U27" s="1275"/>
      <c r="V27" s="1275"/>
      <c r="W27" s="1275"/>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275"/>
      <c r="AS27" s="59"/>
      <c r="BA27" s="11">
        <v>26</v>
      </c>
    </row>
    <row r="28" spans="1:53" ht="14.7" customHeight="1">
      <c r="Q28" s="168"/>
      <c r="R28" s="28"/>
      <c r="S28" s="1247" t="str">
        <f>IF(org=0,"Не определено",org)</f>
        <v>АО "Юграавиа"</v>
      </c>
      <c r="T28" s="1247"/>
      <c r="U28" s="1247"/>
      <c r="V28" s="1247"/>
      <c r="W28" s="1247"/>
      <c r="X28" s="1247"/>
      <c r="Y28" s="1247"/>
      <c r="Z28" s="1247"/>
      <c r="AA28" s="1247"/>
      <c r="AB28" s="1247"/>
      <c r="AC28" s="1247"/>
      <c r="AD28" s="1247"/>
      <c r="AE28" s="1247"/>
      <c r="AF28" s="1247"/>
      <c r="AG28" s="1247"/>
      <c r="AH28" s="1247"/>
      <c r="AI28" s="1247"/>
      <c r="AJ28" s="1247"/>
      <c r="AK28" s="1247"/>
      <c r="AL28" s="1247"/>
      <c r="AM28" s="1247"/>
      <c r="AN28" s="1247"/>
      <c r="AO28" s="1247"/>
      <c r="AP28" s="1247"/>
      <c r="AQ28" s="1247"/>
      <c r="AR28" s="1247"/>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85" t="s">
        <v>42</v>
      </c>
      <c r="T30" s="1285"/>
      <c r="U30" s="773"/>
      <c r="V30" s="1287" t="str">
        <f>IF(TITLE_NAME_OR_PR_CHANGE="",IF(TITLE_NAME_OR_PR="","",TITLE_NAME_OR_PR),TITLE_NAME_OR_PR_CHANGE)</f>
        <v>Региональная служба по тарифам Ханты-Мансийского автономного округа – Югры (РСТ Югры)</v>
      </c>
      <c r="W30" s="1287"/>
      <c r="X30" s="1287"/>
      <c r="Y30" s="1287"/>
      <c r="Z30" s="1287"/>
      <c r="AA30" s="11"/>
      <c r="AB30" s="1287" t="str">
        <f>IF(TITLE_NAME_OR_PR_CHANGE="",IF(TITLE_NAME_OR_PR="","",TITLE_NAME_OR_PR),TITLE_NAME_OR_PR_CHANGE)</f>
        <v>Региональная служба по тарифам Ханты-Мансийского автономного округа – Югры (РСТ Югры)</v>
      </c>
      <c r="AC30" s="1287"/>
      <c r="AD30" s="1287"/>
      <c r="AE30" s="1287"/>
      <c r="AF30" s="1287"/>
      <c r="AG30" s="1287"/>
      <c r="AH30" s="1287"/>
      <c r="AI30" s="1287"/>
      <c r="AJ30" s="1287"/>
      <c r="AK30" s="1287"/>
      <c r="AL30" s="1287"/>
      <c r="AM30" s="1287"/>
      <c r="AN30" s="1287"/>
      <c r="AO30" s="1287"/>
      <c r="AP30" s="1287"/>
      <c r="AQ30" s="1287"/>
      <c r="AR30" s="1287"/>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85" t="s">
        <v>425</v>
      </c>
      <c r="T31" s="1285"/>
      <c r="U31" s="773"/>
      <c r="V31" s="1286">
        <f>IF(TITLE_DATE_PR_CHANGE="",IF(TITLE_DATE_PR="","",TITLE_DATE_PR),TITLE_DATE_PR_CHANGE)</f>
        <v>45999</v>
      </c>
      <c r="W31" s="1286"/>
      <c r="X31" s="1286"/>
      <c r="Y31" s="1286"/>
      <c r="Z31" s="1286"/>
      <c r="AA31" s="11"/>
      <c r="AB31" s="1286">
        <f>IF(TITLE_DATE_PR_CHANGE="",IF(TITLE_DATE_PR="","",TITLE_DATE_PR),TITLE_DATE_PR_CHANGE)</f>
        <v>45999</v>
      </c>
      <c r="AC31" s="1286"/>
      <c r="AD31" s="1286"/>
      <c r="AE31" s="1286"/>
      <c r="AF31" s="1286"/>
      <c r="AG31" s="1286"/>
      <c r="AH31" s="1286"/>
      <c r="AI31" s="1286"/>
      <c r="AJ31" s="1286"/>
      <c r="AK31" s="1286"/>
      <c r="AL31" s="1286"/>
      <c r="AM31" s="1286"/>
      <c r="AN31" s="1286"/>
      <c r="AO31" s="1286"/>
      <c r="AP31" s="1286"/>
      <c r="AQ31" s="1286"/>
      <c r="AR31" s="1286"/>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85" t="s">
        <v>426</v>
      </c>
      <c r="T32" s="1285"/>
      <c r="U32" s="773"/>
      <c r="V32" s="1287" t="str">
        <f>IF(TITLE_NUMBER_PR_CHANGE="",IF(TITLE_NUMBER_PR="","",TITLE_NUMBER_PR),TITLE_NUMBER_PR_CHANGE)</f>
        <v>94-нп</v>
      </c>
      <c r="W32" s="1287"/>
      <c r="X32" s="1287"/>
      <c r="Y32" s="1287"/>
      <c r="Z32" s="1287"/>
      <c r="AA32" s="11"/>
      <c r="AB32" s="1287" t="str">
        <f>IF(TITLE_NUMBER_PR_CHANGE="",IF(TITLE_NUMBER_PR="","",TITLE_NUMBER_PR),TITLE_NUMBER_PR_CHANGE)</f>
        <v>94-нп</v>
      </c>
      <c r="AC32" s="1287"/>
      <c r="AD32" s="1287"/>
      <c r="AE32" s="1287"/>
      <c r="AF32" s="1287"/>
      <c r="AG32" s="1287"/>
      <c r="AH32" s="1287"/>
      <c r="AI32" s="1287"/>
      <c r="AJ32" s="1287"/>
      <c r="AK32" s="1287"/>
      <c r="AL32" s="1287"/>
      <c r="AM32" s="1287"/>
      <c r="AN32" s="1287"/>
      <c r="AO32" s="1287"/>
      <c r="AP32" s="1287"/>
      <c r="AQ32" s="1287"/>
      <c r="AR32" s="1287"/>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85" t="s">
        <v>44</v>
      </c>
      <c r="T33" s="1285"/>
      <c r="U33" s="773"/>
      <c r="V33" s="1287" t="str">
        <f>IF(TITLE_IST_PUB_CHANGE="",IF(TITLE_IST_PUB="","",TITLE_IST_PUB),TITLE_IST_PUB_CHANGE)</f>
        <v>«Официальный интернет-портал правовой информации» (www.pravo.gov.ru)</v>
      </c>
      <c r="W33" s="1287"/>
      <c r="X33" s="1287"/>
      <c r="Y33" s="1287"/>
      <c r="Z33" s="1287"/>
      <c r="AA33" s="11"/>
      <c r="AB33" s="1287" t="str">
        <f>IF(TITLE_IST_PUB_CHANGE="",IF(TITLE_IST_PUB="","",TITLE_IST_PUB),TITLE_IST_PUB_CHANGE)</f>
        <v>«Официальный интернет-портал правовой информации» (www.pravo.gov.ru)</v>
      </c>
      <c r="AC33" s="1287"/>
      <c r="AD33" s="1287"/>
      <c r="AE33" s="1287"/>
      <c r="AF33" s="1287"/>
      <c r="AG33" s="1287"/>
      <c r="AH33" s="1287"/>
      <c r="AI33" s="1287"/>
      <c r="AJ33" s="1287"/>
      <c r="AK33" s="1287"/>
      <c r="AL33" s="1287"/>
      <c r="AM33" s="1287"/>
      <c r="AN33" s="1287"/>
      <c r="AO33" s="1287"/>
      <c r="AP33" s="1287"/>
      <c r="AQ33" s="1287"/>
      <c r="AR33" s="128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85" t="s">
        <v>425</v>
      </c>
      <c r="T35" s="1285"/>
      <c r="U35" s="773"/>
      <c r="V35" s="1286">
        <f>IF(TITLE_DATE_PR_CHANGE="",IF(TITLE_DATE_PR="","",TITLE_DATE_PR),TITLE_DATE_PR_CHANGE)</f>
        <v>45999</v>
      </c>
      <c r="W35" s="1286"/>
      <c r="X35" s="1286"/>
      <c r="Y35" s="1286"/>
      <c r="Z35" s="1286"/>
      <c r="AA35" s="11"/>
      <c r="AB35" s="1286">
        <f>IF(TITLE_DATE_PR_CHANGE="",IF(TITLE_DATE_PR="","",TITLE_DATE_PR),TITLE_DATE_PR_CHANGE)</f>
        <v>45999</v>
      </c>
      <c r="AC35" s="1286"/>
      <c r="AD35" s="1286"/>
      <c r="AE35" s="1286"/>
      <c r="AF35" s="1286"/>
      <c r="AG35" s="1286"/>
      <c r="AH35" s="1286"/>
      <c r="AI35" s="1286"/>
      <c r="AJ35" s="1286"/>
      <c r="AK35" s="1286"/>
      <c r="AL35" s="1286"/>
      <c r="AM35" s="1286"/>
      <c r="AN35" s="1286"/>
      <c r="AO35" s="1286"/>
      <c r="AP35" s="1286"/>
      <c r="AQ35" s="1286"/>
      <c r="AR35" s="128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85" t="s">
        <v>426</v>
      </c>
      <c r="T36" s="1285"/>
      <c r="U36" s="773"/>
      <c r="V36" s="1287" t="str">
        <f>IF(TITLE_NUMBER_PR_CHANGE="",IF(TITLE_NUMBER_PR="","",TITLE_NUMBER_PR),TITLE_NUMBER_PR_CHANGE)</f>
        <v>94-нп</v>
      </c>
      <c r="W36" s="1287"/>
      <c r="X36" s="1287"/>
      <c r="Y36" s="1287"/>
      <c r="Z36" s="1287"/>
      <c r="AA36" s="11"/>
      <c r="AB36" s="1287" t="str">
        <f>IF(TITLE_NUMBER_PR_CHANGE="",IF(TITLE_NUMBER_PR="","",TITLE_NUMBER_PR),TITLE_NUMBER_PR_CHANGE)</f>
        <v>94-нп</v>
      </c>
      <c r="AC36" s="1287"/>
      <c r="AD36" s="1287"/>
      <c r="AE36" s="1287"/>
      <c r="AF36" s="1287"/>
      <c r="AG36" s="1287"/>
      <c r="AH36" s="1287"/>
      <c r="AI36" s="1287"/>
      <c r="AJ36" s="1287"/>
      <c r="AK36" s="1287"/>
      <c r="AL36" s="1287"/>
      <c r="AM36" s="1287"/>
      <c r="AN36" s="1287"/>
      <c r="AO36" s="1287"/>
      <c r="AP36" s="1287"/>
      <c r="AQ36" s="1287"/>
      <c r="AR36" s="1287"/>
      <c r="AS36" s="11"/>
      <c r="AT36" s="11"/>
      <c r="AU36" s="163"/>
      <c r="AV36" s="69"/>
      <c r="AW36" s="69"/>
      <c r="AX36" s="69"/>
      <c r="AY36" s="69"/>
      <c r="AZ36" s="69"/>
      <c r="BA36" s="35">
        <v>0</v>
      </c>
    </row>
    <row r="37" spans="1:53" s="35" customFormat="1" ht="1.05"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7" customHeight="1">
      <c r="Q38" s="168"/>
      <c r="R38" s="28"/>
      <c r="S38" s="739"/>
      <c r="T38" s="10"/>
      <c r="U38" s="720"/>
      <c r="V38" s="1306"/>
      <c r="W38" s="1306"/>
      <c r="X38" s="1306"/>
      <c r="Y38" s="1306"/>
      <c r="Z38" s="1306"/>
      <c r="AA38" s="1306"/>
      <c r="AB38" s="1306"/>
      <c r="AC38" s="1306"/>
      <c r="AD38" s="1306"/>
      <c r="AE38" s="1306"/>
      <c r="AF38" s="1306"/>
      <c r="AG38" s="1306"/>
      <c r="AH38" s="1306"/>
      <c r="AI38" s="1306"/>
      <c r="AJ38" s="1306"/>
      <c r="AK38" s="1306"/>
      <c r="AL38" s="1306"/>
      <c r="AM38" s="1306"/>
      <c r="AN38" s="1306"/>
      <c r="AO38" s="1306"/>
      <c r="AP38" s="1306"/>
      <c r="AQ38" s="1306"/>
      <c r="AR38" s="1306"/>
      <c r="AS38" s="1306"/>
      <c r="BA38" s="11">
        <v>14</v>
      </c>
    </row>
    <row r="39" spans="1:53" ht="14.7" customHeight="1">
      <c r="Q39" s="168"/>
      <c r="R39" s="28"/>
      <c r="S39" s="1158" t="s">
        <v>304</v>
      </c>
      <c r="T39" s="1158"/>
      <c r="U39" s="1158"/>
      <c r="V39" s="1158"/>
      <c r="W39" s="1158"/>
      <c r="X39" s="1158"/>
      <c r="Y39" s="1158"/>
      <c r="Z39" s="1158"/>
      <c r="AA39" s="1158"/>
      <c r="AB39" s="1227"/>
      <c r="AC39" s="1227"/>
      <c r="AD39" s="1227"/>
      <c r="AE39" s="1227"/>
      <c r="AF39" s="1158"/>
      <c r="AG39" s="1158"/>
      <c r="AH39" s="1158"/>
      <c r="AI39" s="1158"/>
      <c r="AJ39" s="1158"/>
      <c r="AK39" s="1158"/>
      <c r="AL39" s="1158"/>
      <c r="AM39" s="1158"/>
      <c r="AN39" s="1158"/>
      <c r="AO39" s="1158"/>
      <c r="AP39" s="1158"/>
      <c r="AQ39" s="1158"/>
      <c r="AR39" s="1158"/>
      <c r="AS39" s="1158"/>
      <c r="AT39" s="1158"/>
      <c r="AU39" s="1158" t="s">
        <v>305</v>
      </c>
      <c r="BA39" s="11">
        <v>14</v>
      </c>
    </row>
    <row r="40" spans="1:53" ht="14.7" customHeight="1">
      <c r="Q40" s="168"/>
      <c r="R40" s="28"/>
      <c r="S40" s="1307" t="s">
        <v>89</v>
      </c>
      <c r="T40" s="1255" t="s">
        <v>474</v>
      </c>
      <c r="U40" s="172"/>
      <c r="V40" s="1309"/>
      <c r="W40" s="1309"/>
      <c r="X40" s="1309"/>
      <c r="Y40" s="1309"/>
      <c r="Z40" s="1310"/>
      <c r="AA40" s="1356" t="s">
        <v>432</v>
      </c>
      <c r="AB40" s="1340" t="s">
        <v>475</v>
      </c>
      <c r="AC40" s="1324"/>
      <c r="AD40" s="1324"/>
      <c r="AE40" s="1341"/>
      <c r="AF40" s="1324" t="s">
        <v>476</v>
      </c>
      <c r="AG40" s="1324"/>
      <c r="AH40" s="1324"/>
      <c r="AI40" s="1341"/>
      <c r="AJ40" s="1340" t="s">
        <v>477</v>
      </c>
      <c r="AK40" s="1324"/>
      <c r="AL40" s="1324"/>
      <c r="AM40" s="1341"/>
      <c r="AN40" s="1340" t="s">
        <v>431</v>
      </c>
      <c r="AO40" s="1324"/>
      <c r="AP40" s="1309"/>
      <c r="AQ40" s="1309"/>
      <c r="AR40" s="1310"/>
      <c r="AS40" s="1311" t="s">
        <v>432</v>
      </c>
      <c r="AT40" s="1314" t="s">
        <v>434</v>
      </c>
      <c r="AU40" s="1158"/>
      <c r="BA40" s="11">
        <v>14</v>
      </c>
    </row>
    <row r="41" spans="1:53" ht="35.700000000000003" customHeight="1">
      <c r="Q41" s="168"/>
      <c r="R41" s="28"/>
      <c r="S41" s="1307"/>
      <c r="T41" s="1255"/>
      <c r="U41" s="607"/>
      <c r="V41" s="1158" t="s">
        <v>478</v>
      </c>
      <c r="W41" s="1158"/>
      <c r="X41" s="1228" t="s">
        <v>438</v>
      </c>
      <c r="Y41" s="1336"/>
      <c r="Z41" s="1229"/>
      <c r="AA41" s="1357"/>
      <c r="AB41" s="1342"/>
      <c r="AC41" s="1343"/>
      <c r="AD41" s="1343"/>
      <c r="AE41" s="1355"/>
      <c r="AF41" s="1343"/>
      <c r="AG41" s="1343"/>
      <c r="AH41" s="1343"/>
      <c r="AI41" s="1355"/>
      <c r="AJ41" s="1342"/>
      <c r="AK41" s="1343"/>
      <c r="AL41" s="1343"/>
      <c r="AM41" s="1343"/>
      <c r="AN41" s="1158" t="s">
        <v>478</v>
      </c>
      <c r="AO41" s="1158"/>
      <c r="AP41" s="1336" t="s">
        <v>438</v>
      </c>
      <c r="AQ41" s="1336"/>
      <c r="AR41" s="1229"/>
      <c r="AS41" s="1312"/>
      <c r="AT41" s="1315"/>
      <c r="AU41" s="1158"/>
      <c r="BA41" s="11">
        <v>34</v>
      </c>
    </row>
    <row r="42" spans="1:53" ht="14.7" customHeight="1">
      <c r="Q42" s="168"/>
      <c r="R42" s="28"/>
      <c r="S42" s="1307"/>
      <c r="T42" s="1255"/>
      <c r="U42" s="607"/>
      <c r="V42" s="1360" t="str">
        <f>IF($AN$42&lt;&gt;"",$AN$42,"")</f>
        <v/>
      </c>
      <c r="W42" s="1360"/>
      <c r="X42" s="1233"/>
      <c r="Y42" s="1337"/>
      <c r="Z42" s="1234"/>
      <c r="AA42" s="1357"/>
      <c r="AB42" s="1342"/>
      <c r="AC42" s="1343"/>
      <c r="AD42" s="1343"/>
      <c r="AE42" s="1355"/>
      <c r="AF42" s="1343"/>
      <c r="AG42" s="1343"/>
      <c r="AH42" s="1343"/>
      <c r="AI42" s="1355"/>
      <c r="AJ42" s="1342"/>
      <c r="AK42" s="1343"/>
      <c r="AL42" s="1343"/>
      <c r="AM42" s="1343"/>
      <c r="AN42" s="1359"/>
      <c r="AO42" s="1359"/>
      <c r="AP42" s="1337"/>
      <c r="AQ42" s="1337"/>
      <c r="AR42" s="1234"/>
      <c r="AS42" s="1312"/>
      <c r="AT42" s="1315"/>
      <c r="AU42" s="1158"/>
      <c r="BA42" s="11">
        <v>14</v>
      </c>
    </row>
    <row r="43" spans="1:53" ht="14.7"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307"/>
      <c r="T43" s="1255"/>
      <c r="U43" s="173"/>
      <c r="V43" s="36" t="s">
        <v>479</v>
      </c>
      <c r="W43" s="36" t="s">
        <v>480</v>
      </c>
      <c r="X43" s="39" t="s">
        <v>448</v>
      </c>
      <c r="Y43" s="1260" t="s">
        <v>449</v>
      </c>
      <c r="Z43" s="1274"/>
      <c r="AA43" s="1358"/>
      <c r="AB43" s="1344"/>
      <c r="AC43" s="1345"/>
      <c r="AD43" s="1345"/>
      <c r="AE43" s="1346"/>
      <c r="AF43" s="1345"/>
      <c r="AG43" s="1345"/>
      <c r="AH43" s="1345"/>
      <c r="AI43" s="1346"/>
      <c r="AJ43" s="1344"/>
      <c r="AK43" s="1345"/>
      <c r="AL43" s="1345"/>
      <c r="AM43" s="1346"/>
      <c r="AN43" s="1005" t="s">
        <v>479</v>
      </c>
      <c r="AO43" s="1005" t="s">
        <v>480</v>
      </c>
      <c r="AP43" s="39" t="s">
        <v>448</v>
      </c>
      <c r="AQ43" s="1260" t="s">
        <v>449</v>
      </c>
      <c r="AR43" s="1274"/>
      <c r="AS43" s="1313"/>
      <c r="AT43" s="1316"/>
      <c r="AU43" s="1158"/>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305">
        <f ca="1">OFFSET(Y44,0,-1)+1</f>
        <v>6</v>
      </c>
      <c r="Z44" s="130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5">
        <f ca="1">OFFSET(AQ44,0,-1)+1</f>
        <v>4</v>
      </c>
      <c r="AR44" s="1305"/>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94">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89"/>
      <c r="W45" s="1289"/>
      <c r="X45" s="1289"/>
      <c r="Y45" s="1289"/>
      <c r="Z45" s="1289"/>
      <c r="AA45" s="1290"/>
      <c r="AB45" s="1288" t="str">
        <f>INDEX(PT_DIFFERENTIATION_NTAR,MATCH(A45,PT_DIFFERENTIATION_NTAR_ID,0))</f>
        <v/>
      </c>
      <c r="AC45" s="1289"/>
      <c r="AD45" s="1289"/>
      <c r="AE45" s="1289"/>
      <c r="AF45" s="1289"/>
      <c r="AG45" s="1289"/>
      <c r="AH45" s="1289"/>
      <c r="AI45" s="1289"/>
      <c r="AJ45" s="1289"/>
      <c r="AK45" s="1289"/>
      <c r="AL45" s="1289"/>
      <c r="AM45" s="1289"/>
      <c r="AN45" s="1289"/>
      <c r="AO45" s="1289"/>
      <c r="AP45" s="1289"/>
      <c r="AQ45" s="1289"/>
      <c r="AR45" s="1289"/>
      <c r="AS45" s="1289"/>
      <c r="AT45" s="129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2.05" customHeight="1">
      <c r="A46" s="769" t="s">
        <v>199</v>
      </c>
      <c r="B46" s="769" t="s">
        <v>200</v>
      </c>
      <c r="C46" s="769"/>
      <c r="D46" s="769"/>
      <c r="E46" s="1295"/>
      <c r="F46" s="1294">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89"/>
      <c r="W46" s="1289"/>
      <c r="X46" s="1289"/>
      <c r="Y46" s="1289"/>
      <c r="Z46" s="1289"/>
      <c r="AA46" s="1290"/>
      <c r="AB46" s="1288" t="str">
        <f>INDEX(PT_DIFFERENTIATION_TER,MATCH(B46,PT_DIFFERENTIATION_TER_ID,0))</f>
        <v/>
      </c>
      <c r="AC46" s="1289"/>
      <c r="AD46" s="1289"/>
      <c r="AE46" s="1289"/>
      <c r="AF46" s="1289"/>
      <c r="AG46" s="1289"/>
      <c r="AH46" s="1289"/>
      <c r="AI46" s="1289"/>
      <c r="AJ46" s="1289"/>
      <c r="AK46" s="1289"/>
      <c r="AL46" s="1289"/>
      <c r="AM46" s="1289"/>
      <c r="AN46" s="1289"/>
      <c r="AO46" s="1289"/>
      <c r="AP46" s="1289"/>
      <c r="AQ46" s="1289"/>
      <c r="AR46" s="1289"/>
      <c r="AS46" s="1289"/>
      <c r="AT46" s="1290"/>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295"/>
      <c r="F47" s="1295"/>
      <c r="G47" s="1294">
        <v>1</v>
      </c>
      <c r="H47" s="769"/>
      <c r="I47" s="769"/>
      <c r="J47" s="769"/>
      <c r="K47" s="769"/>
      <c r="L47" s="770"/>
      <c r="M47" s="426"/>
      <c r="N47" s="426"/>
      <c r="O47" s="426"/>
      <c r="P47" s="131"/>
      <c r="Q47" s="802"/>
      <c r="R47" s="205"/>
      <c r="S47" s="709" t="str">
        <f>INDEX(PT_DIFFERENTIATION_NUM_CS,MATCH(C47,PT_DIFFERENTIATION_CS_ID,0))</f>
        <v>..</v>
      </c>
      <c r="T47" s="178" t="s">
        <v>403</v>
      </c>
      <c r="U47" s="171"/>
      <c r="V47" s="1289"/>
      <c r="W47" s="1289"/>
      <c r="X47" s="1289"/>
      <c r="Y47" s="1289"/>
      <c r="Z47" s="1289"/>
      <c r="AA47" s="1290"/>
      <c r="AB47" s="1288" t="str">
        <f>INDEX(PT_DIFFERENTIATION_CS,MATCH(C47,PT_DIFFERENTIATION_CS_ID,0))</f>
        <v/>
      </c>
      <c r="AC47" s="1289"/>
      <c r="AD47" s="1289"/>
      <c r="AE47" s="1289"/>
      <c r="AF47" s="1289"/>
      <c r="AG47" s="1289"/>
      <c r="AH47" s="1289"/>
      <c r="AI47" s="1289"/>
      <c r="AJ47" s="1289"/>
      <c r="AK47" s="1289"/>
      <c r="AL47" s="1289"/>
      <c r="AM47" s="1289"/>
      <c r="AN47" s="1289"/>
      <c r="AO47" s="1289"/>
      <c r="AP47" s="1289"/>
      <c r="AQ47" s="1289"/>
      <c r="AR47" s="1289"/>
      <c r="AS47" s="1289"/>
      <c r="AT47" s="1290"/>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95"/>
      <c r="F48" s="1295"/>
      <c r="G48" s="1295"/>
      <c r="H48" s="1294">
        <v>1</v>
      </c>
      <c r="I48" s="769"/>
      <c r="J48" s="769"/>
      <c r="K48" s="769"/>
      <c r="L48" s="770"/>
      <c r="M48" s="426"/>
      <c r="N48" s="426"/>
      <c r="O48" s="426"/>
      <c r="P48" s="131"/>
      <c r="Q48" s="802"/>
      <c r="R48" s="205"/>
      <c r="S48" s="709" t="str">
        <f>INDEX(PT_DIFFERENTIATION_NUM_IST_TE,MATCH(D48,PT_DIFFERENTIATION_IST_TE_ID,0))</f>
        <v>...</v>
      </c>
      <c r="T48" s="179" t="s">
        <v>405</v>
      </c>
      <c r="U48" s="171"/>
      <c r="V48" s="1289"/>
      <c r="W48" s="1289"/>
      <c r="X48" s="1289"/>
      <c r="Y48" s="1289"/>
      <c r="Z48" s="1289"/>
      <c r="AA48" s="1290"/>
      <c r="AB48" s="1288" t="str">
        <f>INDEX(PT_DIFFERENTIATION_IST_TE,MATCH(D48,PT_DIFFERENTIATION_IST_TE_ID,0))</f>
        <v/>
      </c>
      <c r="AC48" s="1289"/>
      <c r="AD48" s="1289"/>
      <c r="AE48" s="1289"/>
      <c r="AF48" s="1289"/>
      <c r="AG48" s="1289"/>
      <c r="AH48" s="1289"/>
      <c r="AI48" s="1289"/>
      <c r="AJ48" s="1289"/>
      <c r="AK48" s="1289"/>
      <c r="AL48" s="1289"/>
      <c r="AM48" s="1289"/>
      <c r="AN48" s="1289"/>
      <c r="AO48" s="1289"/>
      <c r="AP48" s="1289"/>
      <c r="AQ48" s="1289"/>
      <c r="AR48" s="1289"/>
      <c r="AS48" s="1289"/>
      <c r="AT48" s="1290"/>
      <c r="AU48" s="729" t="s">
        <v>406</v>
      </c>
      <c r="AW48" s="69"/>
      <c r="AX48" s="69" t="str">
        <f t="shared" si="2"/>
        <v xml:space="preserve">Источник тепловой энергии  </v>
      </c>
      <c r="AY48" s="69"/>
      <c r="AZ48" s="69"/>
      <c r="BA48" s="11">
        <v>20</v>
      </c>
    </row>
    <row r="49" spans="1:53" s="68" customFormat="1" ht="1.05" customHeight="1">
      <c r="A49" s="145" t="s">
        <v>199</v>
      </c>
      <c r="B49" s="145" t="s">
        <v>200</v>
      </c>
      <c r="C49" s="145" t="s">
        <v>201</v>
      </c>
      <c r="D49" s="145" t="s">
        <v>202</v>
      </c>
      <c r="E49" s="1295"/>
      <c r="F49" s="1295"/>
      <c r="G49" s="1295"/>
      <c r="H49" s="1295"/>
      <c r="I49" s="1296" t="str">
        <f>S48&amp;".1"</f>
        <v>....1</v>
      </c>
      <c r="J49" s="145"/>
      <c r="K49" s="145"/>
      <c r="L49" s="346" t="s">
        <v>407</v>
      </c>
      <c r="M49" s="290"/>
      <c r="N49" s="290"/>
      <c r="O49" s="290"/>
      <c r="P49" s="1298">
        <v>1</v>
      </c>
      <c r="Q49" s="122"/>
      <c r="R49" s="208"/>
      <c r="S49" s="362"/>
      <c r="T49" s="779"/>
      <c r="U49" s="780"/>
      <c r="V49" s="1326"/>
      <c r="W49" s="1326"/>
      <c r="X49" s="1326"/>
      <c r="Y49" s="1326"/>
      <c r="Z49" s="1326"/>
      <c r="AA49" s="1327"/>
      <c r="AB49" s="1325"/>
      <c r="AC49" s="1326"/>
      <c r="AD49" s="1326"/>
      <c r="AE49" s="1326"/>
      <c r="AF49" s="1326"/>
      <c r="AG49" s="1326"/>
      <c r="AH49" s="1326"/>
      <c r="AI49" s="1326"/>
      <c r="AJ49" s="1326"/>
      <c r="AK49" s="1326"/>
      <c r="AL49" s="1326"/>
      <c r="AM49" s="1326"/>
      <c r="AN49" s="1326"/>
      <c r="AO49" s="1326"/>
      <c r="AP49" s="1326"/>
      <c r="AQ49" s="1326"/>
      <c r="AR49" s="1326"/>
      <c r="AS49" s="1326"/>
      <c r="AT49" s="1327"/>
      <c r="AU49" s="781"/>
      <c r="AW49" s="69"/>
      <c r="AX49" s="69" t="str">
        <f t="shared" si="2"/>
        <v/>
      </c>
      <c r="AY49" s="69"/>
      <c r="AZ49" s="69"/>
      <c r="BA49" s="68">
        <v>1</v>
      </c>
    </row>
    <row r="50" spans="1:53" s="68" customFormat="1" ht="1.05" customHeight="1">
      <c r="A50" s="145" t="s">
        <v>199</v>
      </c>
      <c r="B50" s="145" t="s">
        <v>200</v>
      </c>
      <c r="C50" s="145" t="s">
        <v>201</v>
      </c>
      <c r="D50" s="145" t="s">
        <v>202</v>
      </c>
      <c r="E50" s="1295"/>
      <c r="F50" s="1295"/>
      <c r="G50" s="1295"/>
      <c r="H50" s="1295"/>
      <c r="I50" s="1297"/>
      <c r="J50" s="1296" t="str">
        <f>S48&amp;".1"</f>
        <v>....1</v>
      </c>
      <c r="K50" s="145"/>
      <c r="L50" s="346"/>
      <c r="M50" s="290"/>
      <c r="N50" s="290"/>
      <c r="O50" s="290"/>
      <c r="P50" s="1298"/>
      <c r="Q50" s="1298">
        <v>1</v>
      </c>
      <c r="R50" s="209"/>
      <c r="S50" s="362"/>
      <c r="T50" s="794"/>
      <c r="U50" s="780"/>
      <c r="V50" s="1326"/>
      <c r="W50" s="1326"/>
      <c r="X50" s="1326"/>
      <c r="Y50" s="1326"/>
      <c r="Z50" s="1326"/>
      <c r="AA50" s="1327"/>
      <c r="AB50" s="1325"/>
      <c r="AC50" s="1326"/>
      <c r="AD50" s="1326"/>
      <c r="AE50" s="1326"/>
      <c r="AF50" s="1326"/>
      <c r="AG50" s="1326"/>
      <c r="AH50" s="1326"/>
      <c r="AI50" s="1326"/>
      <c r="AJ50" s="1326"/>
      <c r="AK50" s="1326"/>
      <c r="AL50" s="1326"/>
      <c r="AM50" s="1326"/>
      <c r="AN50" s="1326"/>
      <c r="AO50" s="1326"/>
      <c r="AP50" s="1326"/>
      <c r="AQ50" s="1326"/>
      <c r="AR50" s="1326"/>
      <c r="AS50" s="1326"/>
      <c r="AT50" s="1327"/>
      <c r="AU50" s="781"/>
      <c r="AW50" s="69"/>
      <c r="AX50" s="69" t="str">
        <f t="shared" si="2"/>
        <v/>
      </c>
      <c r="AY50" s="69"/>
      <c r="AZ50" s="69"/>
      <c r="BA50" s="68">
        <v>1</v>
      </c>
    </row>
    <row r="51" spans="1:53" ht="22.05" customHeight="1">
      <c r="A51" s="769" t="s">
        <v>199</v>
      </c>
      <c r="B51" s="769" t="s">
        <v>200</v>
      </c>
      <c r="C51" s="769" t="s">
        <v>201</v>
      </c>
      <c r="D51" s="769" t="s">
        <v>202</v>
      </c>
      <c r="E51" s="1295"/>
      <c r="F51" s="1295"/>
      <c r="G51" s="1295"/>
      <c r="H51" s="1295"/>
      <c r="I51" s="1297"/>
      <c r="J51" s="1297"/>
      <c r="K51" s="1296" t="str">
        <f>S48&amp;".1"</f>
        <v>....1</v>
      </c>
      <c r="L51" s="770"/>
      <c r="P51" s="1298"/>
      <c r="Q51" s="1298"/>
      <c r="R51" s="209">
        <v>1</v>
      </c>
      <c r="S51" s="1351" t="str">
        <f>$K51</f>
        <v>....1</v>
      </c>
      <c r="T51" s="1348"/>
      <c r="U51" s="171"/>
      <c r="V51" s="306"/>
      <c r="W51" s="728"/>
      <c r="X51" s="943"/>
      <c r="Y51" s="297" t="s">
        <v>67</v>
      </c>
      <c r="Z51" s="943"/>
      <c r="AA51" s="297" t="s">
        <v>67</v>
      </c>
      <c r="AB51" s="1168" t="s">
        <v>19</v>
      </c>
      <c r="AC51" s="1347"/>
      <c r="AD51" s="1251">
        <v>1</v>
      </c>
      <c r="AE51" s="1339" t="s">
        <v>28</v>
      </c>
      <c r="AF51" s="1168" t="s">
        <v>19</v>
      </c>
      <c r="AG51" s="1347"/>
      <c r="AH51" s="1251">
        <v>1</v>
      </c>
      <c r="AI51" s="1339" t="s">
        <v>28</v>
      </c>
      <c r="AJ51" s="1168" t="s">
        <v>19</v>
      </c>
      <c r="AK51" s="180"/>
      <c r="AL51" s="268">
        <v>1</v>
      </c>
      <c r="AM51" s="323"/>
      <c r="AN51" s="306"/>
      <c r="AO51" s="728"/>
      <c r="AP51" s="943"/>
      <c r="AQ51" s="297" t="s">
        <v>67</v>
      </c>
      <c r="AR51" s="943"/>
      <c r="AS51" s="297" t="s">
        <v>67</v>
      </c>
      <c r="AT51" s="766"/>
      <c r="AU51" s="1317" t="s">
        <v>481</v>
      </c>
      <c r="AV51" s="68" t="e">
        <f ca="1">STRCHECKDATE(V54:AT54)</f>
        <v>#NAME?</v>
      </c>
      <c r="AW51" s="69"/>
      <c r="AX51" s="69" t="str">
        <f t="shared" si="2"/>
        <v/>
      </c>
      <c r="AY51" s="69"/>
      <c r="AZ51" s="69"/>
      <c r="BA51" s="11">
        <v>21</v>
      </c>
    </row>
    <row r="52" spans="1:53" ht="11.55" customHeight="1">
      <c r="A52" s="769" t="s">
        <v>199</v>
      </c>
      <c r="B52" s="769"/>
      <c r="C52" s="769"/>
      <c r="D52" s="769"/>
      <c r="E52" s="1295"/>
      <c r="F52" s="1295"/>
      <c r="G52" s="1295"/>
      <c r="H52" s="1295"/>
      <c r="I52" s="1297"/>
      <c r="J52" s="1297"/>
      <c r="K52" s="1296"/>
      <c r="L52" s="770"/>
      <c r="P52" s="1298"/>
      <c r="Q52" s="1298"/>
      <c r="R52" s="209"/>
      <c r="S52" s="1352"/>
      <c r="T52" s="1349"/>
      <c r="U52" s="171"/>
      <c r="V52" s="789"/>
      <c r="W52" s="819"/>
      <c r="X52" s="789"/>
      <c r="Y52" s="789"/>
      <c r="Z52" s="789"/>
      <c r="AA52" s="789"/>
      <c r="AB52" s="1168"/>
      <c r="AC52" s="1347"/>
      <c r="AD52" s="1251"/>
      <c r="AE52" s="1339"/>
      <c r="AF52" s="1168"/>
      <c r="AG52" s="1347"/>
      <c r="AH52" s="1251"/>
      <c r="AI52" s="1339"/>
      <c r="AJ52" s="1168"/>
      <c r="AK52" s="184"/>
      <c r="AL52" s="52"/>
      <c r="AM52" s="110" t="s">
        <v>466</v>
      </c>
      <c r="AN52" s="789"/>
      <c r="AO52" s="819"/>
      <c r="AP52" s="789"/>
      <c r="AQ52" s="789"/>
      <c r="AR52" s="789"/>
      <c r="AS52" s="789"/>
      <c r="AT52" s="786"/>
      <c r="AU52" s="1318"/>
      <c r="AW52" s="69"/>
      <c r="AX52" s="69"/>
      <c r="AY52" s="69"/>
      <c r="AZ52" s="69"/>
      <c r="BA52" s="11">
        <v>11</v>
      </c>
    </row>
    <row r="53" spans="1:53" ht="11.55" customHeight="1">
      <c r="A53" s="769" t="s">
        <v>199</v>
      </c>
      <c r="B53" s="769"/>
      <c r="C53" s="769"/>
      <c r="D53" s="769"/>
      <c r="E53" s="1295"/>
      <c r="F53" s="1295"/>
      <c r="G53" s="1295"/>
      <c r="H53" s="1295"/>
      <c r="I53" s="1297"/>
      <c r="J53" s="1297"/>
      <c r="K53" s="1296"/>
      <c r="L53" s="770"/>
      <c r="P53" s="1298"/>
      <c r="Q53" s="1298"/>
      <c r="R53" s="209"/>
      <c r="S53" s="1352"/>
      <c r="T53" s="1349"/>
      <c r="U53" s="171"/>
      <c r="V53" s="789"/>
      <c r="W53" s="819"/>
      <c r="X53" s="789"/>
      <c r="Y53" s="789"/>
      <c r="Z53" s="789"/>
      <c r="AA53" s="789"/>
      <c r="AB53" s="1168"/>
      <c r="AC53" s="1347"/>
      <c r="AD53" s="1251"/>
      <c r="AE53" s="1339"/>
      <c r="AF53" s="1168"/>
      <c r="AG53" s="169"/>
      <c r="AH53" s="110"/>
      <c r="AI53" s="110" t="s">
        <v>467</v>
      </c>
      <c r="AJ53" s="789"/>
      <c r="AK53" s="789"/>
      <c r="AL53" s="789"/>
      <c r="AM53" s="789"/>
      <c r="AN53" s="789"/>
      <c r="AO53" s="819"/>
      <c r="AP53" s="789"/>
      <c r="AQ53" s="789"/>
      <c r="AR53" s="789"/>
      <c r="AS53" s="789"/>
      <c r="AT53" s="786"/>
      <c r="AU53" s="1318"/>
      <c r="AW53" s="69"/>
      <c r="AX53" s="69"/>
      <c r="AY53" s="69"/>
      <c r="AZ53" s="69"/>
      <c r="BA53" s="11">
        <v>11</v>
      </c>
    </row>
    <row r="54" spans="1:53" ht="11.55" customHeight="1">
      <c r="A54" s="769" t="s">
        <v>199</v>
      </c>
      <c r="B54" s="769" t="s">
        <v>200</v>
      </c>
      <c r="C54" s="769" t="s">
        <v>201</v>
      </c>
      <c r="D54" s="769" t="s">
        <v>202</v>
      </c>
      <c r="E54" s="1295"/>
      <c r="F54" s="1295"/>
      <c r="G54" s="1295"/>
      <c r="H54" s="1295"/>
      <c r="I54" s="1297"/>
      <c r="J54" s="1297"/>
      <c r="K54" s="1296"/>
      <c r="L54" s="770"/>
      <c r="P54" s="1298"/>
      <c r="Q54" s="1298"/>
      <c r="R54" s="209"/>
      <c r="S54" s="1353"/>
      <c r="T54" s="1350"/>
      <c r="U54" s="171"/>
      <c r="V54" s="789"/>
      <c r="W54" s="790" t="str">
        <f>X51&amp;"-"&amp;Z51</f>
        <v>-</v>
      </c>
      <c r="X54" s="789"/>
      <c r="Y54" s="789"/>
      <c r="Z54" s="789"/>
      <c r="AA54" s="789"/>
      <c r="AB54" s="1168"/>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18"/>
      <c r="AW54" s="69"/>
      <c r="AX54" s="69" t="str">
        <f t="shared" ref="AX54:AX62" si="3">IF(T54="","",T54)</f>
        <v/>
      </c>
      <c r="AY54" s="69"/>
      <c r="AZ54" s="69"/>
      <c r="BA54" s="11">
        <v>11</v>
      </c>
    </row>
    <row r="55" spans="1:53" ht="11.55" customHeight="1">
      <c r="A55" s="769" t="s">
        <v>199</v>
      </c>
      <c r="B55" s="769" t="s">
        <v>200</v>
      </c>
      <c r="C55" s="769" t="s">
        <v>201</v>
      </c>
      <c r="D55" s="769" t="s">
        <v>202</v>
      </c>
      <c r="E55" s="1295"/>
      <c r="F55" s="1295"/>
      <c r="G55" s="1295"/>
      <c r="H55" s="1295"/>
      <c r="I55" s="1297"/>
      <c r="J55" s="1296"/>
      <c r="K55" s="769"/>
      <c r="L55" s="770"/>
      <c r="P55" s="1298"/>
      <c r="Q55" s="1298"/>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19"/>
      <c r="AW55" s="69"/>
      <c r="AX55" s="69" t="str">
        <f t="shared" si="3"/>
        <v>Добавить строку</v>
      </c>
      <c r="AY55" s="69"/>
      <c r="AZ55" s="69"/>
      <c r="BA55" s="11">
        <v>11</v>
      </c>
    </row>
    <row r="56" spans="1:53" s="68" customFormat="1" ht="1.05" customHeight="1">
      <c r="A56" s="145" t="s">
        <v>199</v>
      </c>
      <c r="B56" s="145" t="s">
        <v>200</v>
      </c>
      <c r="C56" s="145" t="s">
        <v>201</v>
      </c>
      <c r="D56" s="145" t="s">
        <v>202</v>
      </c>
      <c r="E56" s="1295"/>
      <c r="F56" s="1295"/>
      <c r="G56" s="1295"/>
      <c r="H56" s="1295"/>
      <c r="I56" s="1296"/>
      <c r="J56" s="145"/>
      <c r="K56" s="145"/>
      <c r="L56" s="346"/>
      <c r="M56" s="290"/>
      <c r="N56" s="290"/>
      <c r="O56" s="290"/>
      <c r="P56" s="1298"/>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05" customHeight="1">
      <c r="A57" s="145" t="s">
        <v>199</v>
      </c>
      <c r="B57" s="145" t="s">
        <v>200</v>
      </c>
      <c r="C57" s="145" t="s">
        <v>201</v>
      </c>
      <c r="D57" s="145" t="s">
        <v>202</v>
      </c>
      <c r="E57" s="1295"/>
      <c r="F57" s="1295"/>
      <c r="G57" s="1295"/>
      <c r="H57" s="129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05" customHeight="1">
      <c r="A58" s="145" t="s">
        <v>199</v>
      </c>
      <c r="B58" s="145" t="s">
        <v>200</v>
      </c>
      <c r="C58" s="145" t="s">
        <v>201</v>
      </c>
      <c r="D58" s="145"/>
      <c r="E58" s="1295"/>
      <c r="F58" s="1295"/>
      <c r="G58" s="1294"/>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05" customHeight="1">
      <c r="A59" s="145" t="s">
        <v>199</v>
      </c>
      <c r="B59" s="145" t="s">
        <v>200</v>
      </c>
      <c r="C59" s="145"/>
      <c r="D59" s="145"/>
      <c r="E59" s="1295"/>
      <c r="F59" s="1294"/>
      <c r="G59" s="145"/>
      <c r="H59" s="145"/>
      <c r="I59" s="145"/>
      <c r="J59" s="145"/>
      <c r="K59" s="145"/>
      <c r="L59" s="346"/>
      <c r="M59" s="759"/>
      <c r="N59" s="759"/>
      <c r="P59" s="104"/>
      <c r="Q59" s="755"/>
      <c r="R59" s="104"/>
      <c r="S59" s="760"/>
      <c r="T59" s="762" t="s">
        <v>275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05" customHeight="1">
      <c r="A60" s="145" t="s">
        <v>199</v>
      </c>
      <c r="B60" s="145"/>
      <c r="C60" s="145"/>
      <c r="D60" s="145"/>
      <c r="E60" s="1295"/>
      <c r="F60" s="145"/>
      <c r="G60" s="145"/>
      <c r="H60" s="145"/>
      <c r="I60" s="145"/>
      <c r="J60" s="145"/>
      <c r="K60" s="145"/>
      <c r="L60" s="346"/>
      <c r="M60" s="759"/>
      <c r="N60" s="759"/>
      <c r="P60" s="104"/>
      <c r="Q60" s="755"/>
      <c r="R60" s="104"/>
      <c r="S60" s="760"/>
      <c r="T60" s="762" t="s">
        <v>276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05" customHeight="1">
      <c r="A61" s="145" t="s">
        <v>199</v>
      </c>
      <c r="B61" s="145"/>
      <c r="C61" s="145"/>
      <c r="D61" s="145"/>
      <c r="E61" s="1294"/>
      <c r="F61" s="145"/>
      <c r="G61" s="145"/>
      <c r="H61" s="145"/>
      <c r="I61" s="145"/>
      <c r="J61" s="145"/>
      <c r="K61" s="145"/>
      <c r="L61" s="346"/>
      <c r="M61" s="759"/>
      <c r="N61" s="759"/>
      <c r="P61" s="104"/>
      <c r="Q61" s="755"/>
      <c r="R61" s="104"/>
      <c r="S61" s="760"/>
      <c r="T61" s="762" t="s">
        <v>276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05" customHeight="1">
      <c r="A62" s="145"/>
      <c r="B62" s="145"/>
      <c r="C62" s="145"/>
      <c r="D62" s="145"/>
      <c r="E62" s="145"/>
      <c r="F62" s="145"/>
      <c r="G62" s="145"/>
      <c r="H62" s="145"/>
      <c r="I62" s="145"/>
      <c r="J62" s="145"/>
      <c r="K62" s="145"/>
      <c r="L62" s="346"/>
      <c r="M62" s="759"/>
      <c r="N62" s="759"/>
      <c r="P62" s="104"/>
      <c r="Q62" s="755"/>
      <c r="R62" s="104"/>
      <c r="S62" s="760"/>
      <c r="T62" s="762" t="s">
        <v>277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55" customHeight="1">
      <c r="M63" s="63"/>
      <c r="N63" s="63"/>
      <c r="O63" s="63"/>
      <c r="P63" s="63"/>
      <c r="Q63" s="63"/>
      <c r="R63" s="11"/>
      <c r="S63" s="11"/>
      <c r="AV63" s="11"/>
      <c r="AW63" s="11"/>
      <c r="AX63" s="11"/>
      <c r="AY63" s="11"/>
      <c r="AZ63" s="11"/>
      <c r="BA63" s="11">
        <v>11</v>
      </c>
    </row>
    <row r="64" spans="1:53" ht="19.95" customHeight="1">
      <c r="O64" s="63"/>
      <c r="S64" s="198"/>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c r="AO64" s="1293"/>
      <c r="AP64" s="1293"/>
      <c r="AQ64" s="1293"/>
      <c r="AR64" s="1293"/>
      <c r="AS64" s="1293"/>
      <c r="AT64" s="1293"/>
      <c r="AU64" s="1293"/>
      <c r="BA64" s="11">
        <v>19</v>
      </c>
    </row>
    <row r="65" spans="1:53" ht="21" customHeight="1">
      <c r="O65" s="63"/>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3"/>
      <c r="AR65" s="1293"/>
      <c r="AS65" s="1293"/>
      <c r="AT65" s="1293"/>
      <c r="AU65" s="1293"/>
      <c r="BA65" s="11">
        <v>20</v>
      </c>
    </row>
    <row r="66" spans="1:53" ht="14.7"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95" customHeight="1">
      <c r="O67" s="63"/>
      <c r="T67" s="1293"/>
      <c r="U67" s="1293"/>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R67" s="1293"/>
      <c r="AS67" s="1293"/>
      <c r="AT67" s="1293"/>
      <c r="AU67" s="1293"/>
      <c r="BA67" s="11">
        <v>19</v>
      </c>
    </row>
    <row r="68" spans="1:53" ht="16.8" customHeight="1">
      <c r="O68" s="63"/>
      <c r="T68" s="1293"/>
      <c r="U68" s="1293"/>
      <c r="V68" s="1293"/>
      <c r="W68" s="1293"/>
      <c r="X68" s="1293"/>
      <c r="Y68" s="1293"/>
      <c r="Z68" s="1293"/>
      <c r="AA68" s="1293"/>
      <c r="AB68" s="1293"/>
      <c r="AC68" s="1293"/>
      <c r="AD68" s="1293"/>
      <c r="AE68" s="1293"/>
      <c r="AF68" s="1293"/>
      <c r="AG68" s="1293"/>
      <c r="AH68" s="1293"/>
      <c r="AI68" s="1293"/>
      <c r="AJ68" s="1293"/>
      <c r="AK68" s="1293"/>
      <c r="AL68" s="1293"/>
      <c r="AM68" s="1293"/>
      <c r="AN68" s="1293"/>
      <c r="AO68" s="1293"/>
      <c r="AP68" s="1293"/>
      <c r="AQ68" s="1293"/>
      <c r="AR68" s="1293"/>
      <c r="AS68" s="1293"/>
      <c r="AT68" s="1293"/>
      <c r="AU68" s="1293"/>
      <c r="BA68" s="11">
        <v>16</v>
      </c>
    </row>
    <row r="69" spans="1:53" ht="14.7"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22.5" hidden="1" customHeight="1">
      <c r="AQ1" s="11" t="s">
        <v>14</v>
      </c>
    </row>
    <row r="2" spans="1:43"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9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482</v>
      </c>
      <c r="U4" s="171"/>
      <c r="V4" s="1288"/>
      <c r="W4" s="1289"/>
      <c r="X4" s="1289"/>
      <c r="Y4" s="1289"/>
      <c r="Z4" s="1289"/>
      <c r="AA4" s="1289"/>
      <c r="AB4" s="1290"/>
      <c r="AC4" s="1288" t="e">
        <f>INDEX(PT_DIFFERENTIATION_CS,MATCH(C4,PT_DIFFERENTIATION_CS_ID,0))</f>
        <v>#N/A</v>
      </c>
      <c r="AD4" s="1289"/>
      <c r="AE4" s="1289"/>
      <c r="AF4" s="1289"/>
      <c r="AG4" s="1289"/>
      <c r="AH4" s="1289"/>
      <c r="AI4" s="1289"/>
      <c r="AJ4" s="129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4"/>
      <c r="AK6" s="753" t="s">
        <v>486</v>
      </c>
      <c r="AM6" s="69"/>
      <c r="AN6" s="69" t="str">
        <f t="shared" si="0"/>
        <v>Группа потребителей</v>
      </c>
      <c r="AO6" s="69"/>
      <c r="AP6" s="69"/>
      <c r="AQ6" s="11">
        <v>0</v>
      </c>
    </row>
    <row r="7" spans="1:43"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813"/>
      <c r="AK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388"/>
      <c r="AK8" s="1368"/>
      <c r="AM8" s="69"/>
      <c r="AN8" s="69" t="str">
        <f t="shared" si="0"/>
        <v/>
      </c>
      <c r="AO8" s="69"/>
      <c r="AP8" s="69"/>
      <c r="AQ8" s="11">
        <v>0</v>
      </c>
    </row>
    <row r="9" spans="1:43"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2"/>
      <c r="AG15" s="1291" t="s">
        <v>67</v>
      </c>
      <c r="AH15" s="1292"/>
      <c r="AI15" s="1291" t="s">
        <v>67</v>
      </c>
      <c r="AQ15" s="11">
        <v>0</v>
      </c>
    </row>
    <row r="16" spans="1:43" ht="14.25" hidden="1" customHeight="1">
      <c r="AC16" s="368"/>
      <c r="AD16" s="368"/>
      <c r="AE16" s="192" t="str">
        <f>AF15&amp;"-"&amp;AH15</f>
        <v>-</v>
      </c>
      <c r="AF16" s="1291"/>
      <c r="AG16" s="1291"/>
      <c r="AH16" s="1291"/>
      <c r="AI16" s="1291"/>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7" customHeight="1">
      <c r="Q23" s="28"/>
      <c r="R23" s="28"/>
      <c r="S23" s="739"/>
      <c r="T23" s="10"/>
      <c r="U23" s="10"/>
      <c r="AQ23" s="11">
        <v>14</v>
      </c>
    </row>
    <row r="24" spans="1:43" ht="14.7" customHeight="1">
      <c r="Q24" s="28"/>
      <c r="R24" s="28"/>
      <c r="S24" s="127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59"/>
      <c r="AQ24" s="11">
        <v>14</v>
      </c>
    </row>
    <row r="25" spans="1:43"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7" customHeight="1">
      <c r="Q35" s="28"/>
      <c r="R35" s="28"/>
      <c r="S35" s="739"/>
      <c r="T35" s="10"/>
      <c r="U35" s="720"/>
      <c r="V35" s="1306"/>
      <c r="W35" s="1306"/>
      <c r="X35" s="1306"/>
      <c r="Y35" s="1306"/>
      <c r="Z35" s="1306"/>
      <c r="AA35" s="1306"/>
      <c r="AB35" s="1306"/>
      <c r="AC35" s="1306"/>
      <c r="AD35" s="1306"/>
      <c r="AE35" s="1306"/>
      <c r="AF35" s="1306"/>
      <c r="AG35" s="1306"/>
      <c r="AH35" s="1306"/>
      <c r="AI35" s="1306"/>
      <c r="AQ35" s="11">
        <v>14</v>
      </c>
    </row>
    <row r="36" spans="1:43"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t="s">
        <v>305</v>
      </c>
      <c r="AQ36" s="11">
        <v>14</v>
      </c>
    </row>
    <row r="37" spans="1:43"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14" t="s">
        <v>434</v>
      </c>
      <c r="AK37" s="1158"/>
      <c r="AQ37" s="11">
        <v>14</v>
      </c>
    </row>
    <row r="38" spans="1:43"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1315"/>
      <c r="AK38" s="1158"/>
      <c r="AQ38" s="11">
        <v>34</v>
      </c>
    </row>
    <row r="39" spans="1:43" ht="35.7000000000000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493</v>
      </c>
      <c r="W39" s="39" t="s">
        <v>494</v>
      </c>
      <c r="X39" s="39" t="s">
        <v>495</v>
      </c>
      <c r="Y39" s="39" t="s">
        <v>448</v>
      </c>
      <c r="Z39" s="1260" t="s">
        <v>449</v>
      </c>
      <c r="AA39" s="1274"/>
      <c r="AB39" s="1313"/>
      <c r="AC39" s="340" t="s">
        <v>493</v>
      </c>
      <c r="AD39" s="39" t="s">
        <v>494</v>
      </c>
      <c r="AE39" s="39" t="s">
        <v>495</v>
      </c>
      <c r="AF39" s="39" t="s">
        <v>448</v>
      </c>
      <c r="AG39" s="1260" t="s">
        <v>449</v>
      </c>
      <c r="AH39" s="1274"/>
      <c r="AI39" s="1313"/>
      <c r="AJ39" s="1316"/>
      <c r="AK39" s="1158"/>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88"/>
      <c r="W41" s="1289"/>
      <c r="X41" s="1289"/>
      <c r="Y41" s="1289"/>
      <c r="Z41" s="1289"/>
      <c r="AA41" s="1289"/>
      <c r="AB41" s="1290"/>
      <c r="AC41" s="1288" t="str">
        <f>INDEX(PT_DIFFERENTIATION_NTAR,MATCH(A41,PT_DIFFERENTIATION_NTAR_ID,0))</f>
        <v/>
      </c>
      <c r="AD41" s="1289"/>
      <c r="AE41" s="1289"/>
      <c r="AF41" s="1289"/>
      <c r="AG41" s="1289"/>
      <c r="AH41" s="1289"/>
      <c r="AI41" s="1289"/>
      <c r="AJ41" s="129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88"/>
      <c r="W42" s="1289"/>
      <c r="X42" s="1289"/>
      <c r="Y42" s="1289"/>
      <c r="Z42" s="1289"/>
      <c r="AA42" s="1289"/>
      <c r="AB42" s="1290"/>
      <c r="AC42" s="1288" t="str">
        <f>INDEX(PT_DIFFERENTIATION_TER,MATCH(B42,PT_DIFFERENTIATION_TER_ID,0))</f>
        <v/>
      </c>
      <c r="AD42" s="1289"/>
      <c r="AE42" s="1289"/>
      <c r="AF42" s="1289"/>
      <c r="AG42" s="1289"/>
      <c r="AH42" s="1289"/>
      <c r="AI42" s="1289"/>
      <c r="AJ42" s="1290"/>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295"/>
      <c r="F43" s="1295"/>
      <c r="G43" s="1294">
        <v>1</v>
      </c>
      <c r="H43" s="769"/>
      <c r="I43" s="769"/>
      <c r="J43" s="769"/>
      <c r="K43" s="769"/>
      <c r="L43" s="770"/>
      <c r="M43" s="426"/>
      <c r="N43" s="426"/>
      <c r="O43" s="426"/>
      <c r="P43" s="206"/>
      <c r="Q43" s="204"/>
      <c r="R43" s="205"/>
      <c r="S43" s="709" t="str">
        <f>INDEX(PT_DIFFERENTIATION_NUM_CS,MATCH(C43,PT_DIFFERENTIATION_CS_ID,0))</f>
        <v>..</v>
      </c>
      <c r="T43" s="178" t="s">
        <v>482</v>
      </c>
      <c r="U43" s="171"/>
      <c r="V43" s="1288"/>
      <c r="W43" s="1289"/>
      <c r="X43" s="1289"/>
      <c r="Y43" s="1289"/>
      <c r="Z43" s="1289"/>
      <c r="AA43" s="1289"/>
      <c r="AB43" s="1290"/>
      <c r="AC43" s="1288" t="str">
        <f>INDEX(PT_DIFFERENTIATION_CS,MATCH(C43,PT_DIFFERENTIATION_CS_ID,0))</f>
        <v/>
      </c>
      <c r="AD43" s="1289"/>
      <c r="AE43" s="1289"/>
      <c r="AF43" s="1289"/>
      <c r="AG43" s="1289"/>
      <c r="AH43" s="1289"/>
      <c r="AI43" s="1289"/>
      <c r="AJ43" s="129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295"/>
      <c r="F44" s="1295"/>
      <c r="G44" s="1295"/>
      <c r="H44" s="1295"/>
      <c r="I44" s="1296" t="str">
        <f>S43&amp;".1"</f>
        <v>...1</v>
      </c>
      <c r="J44" s="769"/>
      <c r="K44" s="769"/>
      <c r="L44" s="770"/>
      <c r="P44" s="1298">
        <v>1</v>
      </c>
      <c r="Q44" s="122"/>
      <c r="R44" s="208"/>
      <c r="S44" s="709" t="str">
        <f>$I44</f>
        <v>...1</v>
      </c>
      <c r="T44" s="164" t="s">
        <v>484</v>
      </c>
      <c r="U44" s="171"/>
      <c r="V44" s="1362"/>
      <c r="W44" s="1363"/>
      <c r="X44" s="1363"/>
      <c r="Y44" s="1363"/>
      <c r="Z44" s="1363"/>
      <c r="AA44" s="1363"/>
      <c r="AB44" s="1364"/>
      <c r="AC44" s="1365"/>
      <c r="AD44" s="1366"/>
      <c r="AE44" s="1366"/>
      <c r="AF44" s="1366"/>
      <c r="AG44" s="1366"/>
      <c r="AH44" s="1366"/>
      <c r="AI44" s="1366"/>
      <c r="AJ44" s="1367"/>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295"/>
      <c r="F45" s="1295"/>
      <c r="G45" s="1295"/>
      <c r="H45" s="1295"/>
      <c r="I45" s="1297"/>
      <c r="J45" s="1296" t="str">
        <f>I44&amp;".1"</f>
        <v>...1.1</v>
      </c>
      <c r="K45" s="769"/>
      <c r="L45" s="770" t="s">
        <v>410</v>
      </c>
      <c r="P45" s="1298"/>
      <c r="Q45" s="1298">
        <v>1</v>
      </c>
      <c r="R45" s="209"/>
      <c r="S45" s="709" t="str">
        <f>$J45</f>
        <v>...1.1</v>
      </c>
      <c r="T45" s="165" t="s">
        <v>411</v>
      </c>
      <c r="U45" s="171"/>
      <c r="V45" s="1282"/>
      <c r="W45" s="1283"/>
      <c r="X45" s="1283"/>
      <c r="Y45" s="1283"/>
      <c r="Z45" s="1283"/>
      <c r="AA45" s="1283"/>
      <c r="AB45" s="1284"/>
      <c r="AC45" s="1282"/>
      <c r="AD45" s="1283"/>
      <c r="AE45" s="1283"/>
      <c r="AF45" s="1283"/>
      <c r="AG45" s="1283"/>
      <c r="AH45" s="1283"/>
      <c r="AI45" s="1283"/>
      <c r="AJ45" s="1284"/>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295"/>
      <c r="F46" s="1295"/>
      <c r="G46" s="1295"/>
      <c r="H46" s="1295"/>
      <c r="I46" s="1297"/>
      <c r="J46" s="1297"/>
      <c r="K46" s="1296" t="str">
        <f>J45&amp;".1"</f>
        <v>...1.1.1</v>
      </c>
      <c r="L46" s="770"/>
      <c r="P46" s="1298"/>
      <c r="Q46" s="1298"/>
      <c r="R46" s="209">
        <v>1</v>
      </c>
      <c r="S46" s="709" t="str">
        <f>$K46</f>
        <v>...1.1.1</v>
      </c>
      <c r="T46" s="812"/>
      <c r="U46" s="171"/>
      <c r="V46" s="368"/>
      <c r="W46" s="368"/>
      <c r="X46" s="768"/>
      <c r="Y46" s="1292"/>
      <c r="Z46" s="1291" t="s">
        <v>67</v>
      </c>
      <c r="AA46" s="1292"/>
      <c r="AB46" s="1291" t="s">
        <v>67</v>
      </c>
      <c r="AC46" s="306"/>
      <c r="AD46" s="306"/>
      <c r="AE46" s="728"/>
      <c r="AF46" s="1299"/>
      <c r="AG46" s="1168" t="s">
        <v>67</v>
      </c>
      <c r="AH46" s="1301"/>
      <c r="AI46" s="1168" t="s">
        <v>19</v>
      </c>
      <c r="AJ46" s="813"/>
      <c r="AK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295"/>
      <c r="F47" s="1295"/>
      <c r="G47" s="1295"/>
      <c r="H47" s="1295"/>
      <c r="I47" s="1297"/>
      <c r="J47" s="1297"/>
      <c r="K47" s="1296"/>
      <c r="L47" s="770"/>
      <c r="P47" s="1298"/>
      <c r="Q47" s="1298"/>
      <c r="R47" s="209"/>
      <c r="S47" s="65"/>
      <c r="T47" s="171"/>
      <c r="U47" s="171"/>
      <c r="V47" s="368"/>
      <c r="W47" s="368"/>
      <c r="X47" s="192" t="str">
        <f>Y46&amp;"-"&amp;AA46</f>
        <v>-</v>
      </c>
      <c r="Y47" s="1291"/>
      <c r="Z47" s="1291"/>
      <c r="AA47" s="1291"/>
      <c r="AB47" s="1291"/>
      <c r="AC47" s="191"/>
      <c r="AD47" s="191"/>
      <c r="AE47" s="192" t="str">
        <f>AF46&amp;"-"&amp;AH46</f>
        <v>-</v>
      </c>
      <c r="AF47" s="1300"/>
      <c r="AG47" s="1168"/>
      <c r="AH47" s="1302"/>
      <c r="AI47" s="1168"/>
      <c r="AJ47" s="388"/>
      <c r="AK47" s="1368"/>
      <c r="AM47" s="69"/>
      <c r="AN47" s="69" t="str">
        <f t="shared" si="1"/>
        <v/>
      </c>
      <c r="AO47" s="69"/>
      <c r="AP47" s="69"/>
      <c r="AQ47" s="11">
        <v>0</v>
      </c>
    </row>
    <row r="48" spans="1:43" ht="21" customHeight="1">
      <c r="A48" s="769" t="s">
        <v>225</v>
      </c>
      <c r="B48" s="769" t="s">
        <v>226</v>
      </c>
      <c r="C48" s="769" t="s">
        <v>227</v>
      </c>
      <c r="D48" s="769" t="s">
        <v>496</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2.05" customHeight="1">
      <c r="A49" s="769" t="s">
        <v>225</v>
      </c>
      <c r="B49" s="769" t="s">
        <v>226</v>
      </c>
      <c r="C49" s="769" t="s">
        <v>227</v>
      </c>
      <c r="D49" s="769" t="s">
        <v>496</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225</v>
      </c>
      <c r="B50" s="769" t="s">
        <v>226</v>
      </c>
      <c r="C50" s="769" t="s">
        <v>227</v>
      </c>
      <c r="D50" s="769" t="s">
        <v>496</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Q55" s="11">
        <v>14</v>
      </c>
    </row>
    <row r="56" spans="1:43" ht="14.7" customHeight="1">
      <c r="O56" s="63"/>
      <c r="AQ56" s="11">
        <v>14</v>
      </c>
    </row>
    <row r="57" spans="1:43"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22.5" hidden="1" customHeight="1">
      <c r="AQ1" s="11" t="s">
        <v>14</v>
      </c>
    </row>
    <row r="2" spans="1:43"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9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482</v>
      </c>
      <c r="U4" s="171"/>
      <c r="V4" s="1288"/>
      <c r="W4" s="1289"/>
      <c r="X4" s="1289"/>
      <c r="Y4" s="1289"/>
      <c r="Z4" s="1289"/>
      <c r="AA4" s="1289"/>
      <c r="AB4" s="1290"/>
      <c r="AC4" s="1288" t="e">
        <f>INDEX(PT_DIFFERENTIATION_CS,MATCH(C4,PT_DIFFERENTIATION_CS_ID,0))</f>
        <v>#N/A</v>
      </c>
      <c r="AD4" s="1289"/>
      <c r="AE4" s="1289"/>
      <c r="AF4" s="1289"/>
      <c r="AG4" s="1289"/>
      <c r="AH4" s="1289"/>
      <c r="AI4" s="1289"/>
      <c r="AJ4" s="129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4"/>
      <c r="AK6" s="753" t="s">
        <v>486</v>
      </c>
      <c r="AM6" s="69"/>
      <c r="AN6" s="69" t="str">
        <f t="shared" si="0"/>
        <v>Группа потребителей</v>
      </c>
      <c r="AO6" s="69"/>
      <c r="AP6" s="69"/>
      <c r="AQ6" s="11">
        <v>0</v>
      </c>
    </row>
    <row r="7" spans="1:43"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813"/>
      <c r="AK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388"/>
      <c r="AK8" s="1368"/>
      <c r="AM8" s="69"/>
      <c r="AN8" s="69" t="str">
        <f t="shared" si="0"/>
        <v/>
      </c>
      <c r="AO8" s="69"/>
      <c r="AP8" s="69"/>
      <c r="AQ8" s="11">
        <v>0</v>
      </c>
    </row>
    <row r="9" spans="1:43"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2"/>
      <c r="AG15" s="1291" t="s">
        <v>67</v>
      </c>
      <c r="AH15" s="1292"/>
      <c r="AI15" s="1291" t="s">
        <v>67</v>
      </c>
      <c r="AQ15" s="11">
        <v>0</v>
      </c>
    </row>
    <row r="16" spans="1:43" ht="14.25" hidden="1" customHeight="1">
      <c r="AC16" s="368"/>
      <c r="AD16" s="368"/>
      <c r="AE16" s="192" t="str">
        <f>AF15&amp;"-"&amp;AH15</f>
        <v>-</v>
      </c>
      <c r="AF16" s="1291"/>
      <c r="AG16" s="1291"/>
      <c r="AH16" s="1291"/>
      <c r="AI16" s="1291"/>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7" customHeight="1">
      <c r="Q23" s="28"/>
      <c r="R23" s="28"/>
      <c r="S23" s="739"/>
      <c r="T23" s="10"/>
      <c r="U23" s="10"/>
      <c r="AQ23" s="11">
        <v>14</v>
      </c>
    </row>
    <row r="24" spans="1:43" ht="14.7" customHeight="1">
      <c r="Q24" s="28"/>
      <c r="R24" s="28"/>
      <c r="S24" s="127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59"/>
      <c r="AQ24" s="11">
        <v>14</v>
      </c>
    </row>
    <row r="25" spans="1:43"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7" customHeight="1">
      <c r="Q35" s="28"/>
      <c r="R35" s="28"/>
      <c r="S35" s="739"/>
      <c r="T35" s="10"/>
      <c r="U35" s="720"/>
      <c r="V35" s="1306"/>
      <c r="W35" s="1306"/>
      <c r="X35" s="1306"/>
      <c r="Y35" s="1306"/>
      <c r="Z35" s="1306"/>
      <c r="AA35" s="1306"/>
      <c r="AB35" s="1306"/>
      <c r="AC35" s="1306"/>
      <c r="AD35" s="1306"/>
      <c r="AE35" s="1306"/>
      <c r="AF35" s="1306"/>
      <c r="AG35" s="1306"/>
      <c r="AH35" s="1306"/>
      <c r="AI35" s="1306"/>
      <c r="AQ35" s="11">
        <v>14</v>
      </c>
    </row>
    <row r="36" spans="1:43"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t="s">
        <v>305</v>
      </c>
      <c r="AQ36" s="11">
        <v>14</v>
      </c>
    </row>
    <row r="37" spans="1:43"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14" t="s">
        <v>434</v>
      </c>
      <c r="AK37" s="1158"/>
      <c r="AQ37" s="11">
        <v>14</v>
      </c>
    </row>
    <row r="38" spans="1:43"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1315"/>
      <c r="AK38" s="1158"/>
      <c r="AQ38" s="11">
        <v>34</v>
      </c>
    </row>
    <row r="39" spans="1:43" ht="35.7000000000000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493</v>
      </c>
      <c r="W39" s="39" t="s">
        <v>494</v>
      </c>
      <c r="X39" s="39" t="s">
        <v>495</v>
      </c>
      <c r="Y39" s="39" t="s">
        <v>448</v>
      </c>
      <c r="Z39" s="1260" t="s">
        <v>449</v>
      </c>
      <c r="AA39" s="1274"/>
      <c r="AB39" s="1313"/>
      <c r="AC39" s="340" t="s">
        <v>493</v>
      </c>
      <c r="AD39" s="39" t="s">
        <v>494</v>
      </c>
      <c r="AE39" s="39" t="s">
        <v>495</v>
      </c>
      <c r="AF39" s="39" t="s">
        <v>448</v>
      </c>
      <c r="AG39" s="1260" t="s">
        <v>449</v>
      </c>
      <c r="AH39" s="1274"/>
      <c r="AI39" s="1313"/>
      <c r="AJ39" s="1316"/>
      <c r="AK39" s="115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88"/>
      <c r="W41" s="1289"/>
      <c r="X41" s="1289"/>
      <c r="Y41" s="1289"/>
      <c r="Z41" s="1289"/>
      <c r="AA41" s="1289"/>
      <c r="AB41" s="1290"/>
      <c r="AC41" s="1288" t="str">
        <f>INDEX(PT_DIFFERENTIATION_NTAR,MATCH(A41,PT_DIFFERENTIATION_NTAR_ID,0))</f>
        <v/>
      </c>
      <c r="AD41" s="1289"/>
      <c r="AE41" s="1289"/>
      <c r="AF41" s="1289"/>
      <c r="AG41" s="1289"/>
      <c r="AH41" s="1289"/>
      <c r="AI41" s="1289"/>
      <c r="AJ41" s="129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88"/>
      <c r="W42" s="1289"/>
      <c r="X42" s="1289"/>
      <c r="Y42" s="1289"/>
      <c r="Z42" s="1289"/>
      <c r="AA42" s="1289"/>
      <c r="AB42" s="1290"/>
      <c r="AC42" s="1288" t="str">
        <f>INDEX(PT_DIFFERENTIATION_TER,MATCH(B42,PT_DIFFERENTIATION_TER_ID,0))</f>
        <v/>
      </c>
      <c r="AD42" s="1289"/>
      <c r="AE42" s="1289"/>
      <c r="AF42" s="1289"/>
      <c r="AG42" s="1289"/>
      <c r="AH42" s="1289"/>
      <c r="AI42" s="1289"/>
      <c r="AJ42" s="1290"/>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95"/>
      <c r="F43" s="1295"/>
      <c r="G43" s="1294">
        <v>1</v>
      </c>
      <c r="H43" s="769"/>
      <c r="I43" s="769"/>
      <c r="J43" s="769"/>
      <c r="K43" s="769"/>
      <c r="L43" s="770"/>
      <c r="M43" s="426"/>
      <c r="N43" s="426"/>
      <c r="O43" s="426"/>
      <c r="P43" s="206"/>
      <c r="Q43" s="204"/>
      <c r="R43" s="205"/>
      <c r="S43" s="709" t="str">
        <f>INDEX(PT_DIFFERENTIATION_NUM_CS,MATCH(C43,PT_DIFFERENTIATION_CS_ID,0))</f>
        <v>..</v>
      </c>
      <c r="T43" s="178" t="s">
        <v>482</v>
      </c>
      <c r="U43" s="171"/>
      <c r="V43" s="1288"/>
      <c r="W43" s="1289"/>
      <c r="X43" s="1289"/>
      <c r="Y43" s="1289"/>
      <c r="Z43" s="1289"/>
      <c r="AA43" s="1289"/>
      <c r="AB43" s="1290"/>
      <c r="AC43" s="1288" t="str">
        <f>INDEX(PT_DIFFERENTIATION_CS,MATCH(C43,PT_DIFFERENTIATION_CS_ID,0))</f>
        <v/>
      </c>
      <c r="AD43" s="1289"/>
      <c r="AE43" s="1289"/>
      <c r="AF43" s="1289"/>
      <c r="AG43" s="1289"/>
      <c r="AH43" s="1289"/>
      <c r="AI43" s="1289"/>
      <c r="AJ43" s="129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95"/>
      <c r="F44" s="1295"/>
      <c r="G44" s="1295"/>
      <c r="H44" s="1295"/>
      <c r="I44" s="1296" t="str">
        <f>S43&amp;".1"</f>
        <v>...1</v>
      </c>
      <c r="J44" s="769"/>
      <c r="K44" s="769"/>
      <c r="L44" s="770"/>
      <c r="P44" s="1298">
        <v>1</v>
      </c>
      <c r="Q44" s="122"/>
      <c r="R44" s="208"/>
      <c r="S44" s="709" t="str">
        <f>$I44</f>
        <v>...1</v>
      </c>
      <c r="T44" s="164" t="s">
        <v>484</v>
      </c>
      <c r="U44" s="171"/>
      <c r="V44" s="1362"/>
      <c r="W44" s="1363"/>
      <c r="X44" s="1363"/>
      <c r="Y44" s="1363"/>
      <c r="Z44" s="1363"/>
      <c r="AA44" s="1363"/>
      <c r="AB44" s="1364"/>
      <c r="AC44" s="1365"/>
      <c r="AD44" s="1366"/>
      <c r="AE44" s="1366"/>
      <c r="AF44" s="1366"/>
      <c r="AG44" s="1366"/>
      <c r="AH44" s="1366"/>
      <c r="AI44" s="1366"/>
      <c r="AJ44" s="1367"/>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95"/>
      <c r="F45" s="1295"/>
      <c r="G45" s="1295"/>
      <c r="H45" s="1295"/>
      <c r="I45" s="1297"/>
      <c r="J45" s="1296" t="str">
        <f>I44&amp;".1"</f>
        <v>...1.1</v>
      </c>
      <c r="K45" s="769"/>
      <c r="L45" s="770" t="s">
        <v>410</v>
      </c>
      <c r="P45" s="1298"/>
      <c r="Q45" s="1298">
        <v>1</v>
      </c>
      <c r="R45" s="209"/>
      <c r="S45" s="709" t="str">
        <f>$J45</f>
        <v>...1.1</v>
      </c>
      <c r="T45" s="165" t="s">
        <v>411</v>
      </c>
      <c r="U45" s="171"/>
      <c r="V45" s="1282"/>
      <c r="W45" s="1283"/>
      <c r="X45" s="1283"/>
      <c r="Y45" s="1283"/>
      <c r="Z45" s="1283"/>
      <c r="AA45" s="1283"/>
      <c r="AB45" s="1284"/>
      <c r="AC45" s="1282"/>
      <c r="AD45" s="1283"/>
      <c r="AE45" s="1283"/>
      <c r="AF45" s="1283"/>
      <c r="AG45" s="1283"/>
      <c r="AH45" s="1283"/>
      <c r="AI45" s="1283"/>
      <c r="AJ45" s="1284"/>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295"/>
      <c r="F46" s="1295"/>
      <c r="G46" s="1295"/>
      <c r="H46" s="1295"/>
      <c r="I46" s="1297"/>
      <c r="J46" s="1297"/>
      <c r="K46" s="1296" t="str">
        <f>J45&amp;".1"</f>
        <v>...1.1.1</v>
      </c>
      <c r="L46" s="770"/>
      <c r="P46" s="1298"/>
      <c r="Q46" s="1298"/>
      <c r="R46" s="209">
        <v>1</v>
      </c>
      <c r="S46" s="709" t="str">
        <f>$K46</f>
        <v>...1.1.1</v>
      </c>
      <c r="T46" s="812"/>
      <c r="U46" s="171"/>
      <c r="V46" s="306"/>
      <c r="W46" s="306"/>
      <c r="X46" s="728"/>
      <c r="Y46" s="1299"/>
      <c r="Z46" s="1168" t="s">
        <v>67</v>
      </c>
      <c r="AA46" s="1299"/>
      <c r="AB46" s="1168" t="s">
        <v>67</v>
      </c>
      <c r="AC46" s="306"/>
      <c r="AD46" s="306"/>
      <c r="AE46" s="728"/>
      <c r="AF46" s="1299"/>
      <c r="AG46" s="1168" t="s">
        <v>67</v>
      </c>
      <c r="AH46" s="1301"/>
      <c r="AI46" s="1168" t="s">
        <v>67</v>
      </c>
      <c r="AJ46" s="813"/>
      <c r="AK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95"/>
      <c r="F47" s="1295"/>
      <c r="G47" s="1295"/>
      <c r="H47" s="1295"/>
      <c r="I47" s="1297"/>
      <c r="J47" s="1297"/>
      <c r="K47" s="1296"/>
      <c r="L47" s="770"/>
      <c r="P47" s="1298"/>
      <c r="Q47" s="1298"/>
      <c r="R47" s="209"/>
      <c r="S47" s="65"/>
      <c r="T47" s="171"/>
      <c r="U47" s="171"/>
      <c r="V47" s="191"/>
      <c r="W47" s="191"/>
      <c r="X47" s="192" t="str">
        <f>Y46&amp;"-"&amp;AA46</f>
        <v>-</v>
      </c>
      <c r="Y47" s="1300"/>
      <c r="Z47" s="1168"/>
      <c r="AA47" s="1300"/>
      <c r="AB47" s="1168"/>
      <c r="AC47" s="191"/>
      <c r="AD47" s="191"/>
      <c r="AE47" s="192" t="str">
        <f>AF46&amp;"-"&amp;AH46</f>
        <v>-</v>
      </c>
      <c r="AF47" s="1300"/>
      <c r="AG47" s="1168"/>
      <c r="AH47" s="1302"/>
      <c r="AI47" s="1168"/>
      <c r="AJ47" s="388"/>
      <c r="AK47" s="1368"/>
      <c r="AM47" s="69"/>
      <c r="AN47" s="69" t="str">
        <f t="shared" si="1"/>
        <v/>
      </c>
      <c r="AO47" s="69"/>
      <c r="AP47" s="69"/>
      <c r="AQ47" s="11">
        <v>0</v>
      </c>
    </row>
    <row r="48" spans="1:43" ht="21" customHeight="1">
      <c r="A48" s="769" t="s">
        <v>230</v>
      </c>
      <c r="B48" s="769" t="s">
        <v>231</v>
      </c>
      <c r="C48" s="769" t="s">
        <v>232</v>
      </c>
      <c r="D48" s="769" t="s">
        <v>497</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2.05" customHeight="1">
      <c r="A49" s="769" t="s">
        <v>230</v>
      </c>
      <c r="B49" s="769" t="s">
        <v>231</v>
      </c>
      <c r="C49" s="769" t="s">
        <v>232</v>
      </c>
      <c r="D49" s="769" t="s">
        <v>497</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230</v>
      </c>
      <c r="B50" s="769" t="s">
        <v>231</v>
      </c>
      <c r="C50" s="769" t="s">
        <v>232</v>
      </c>
      <c r="D50" s="769" t="s">
        <v>497</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Q55" s="11">
        <v>14</v>
      </c>
    </row>
    <row r="56" spans="1:43" ht="14.7" customHeight="1">
      <c r="O56" s="63"/>
      <c r="AQ56" s="11">
        <v>14</v>
      </c>
    </row>
    <row r="57" spans="1:43"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22.5" hidden="1" customHeight="1">
      <c r="AQ1" s="11" t="s">
        <v>14</v>
      </c>
    </row>
    <row r="2" spans="1:43"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9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482</v>
      </c>
      <c r="U4" s="171"/>
      <c r="V4" s="1288"/>
      <c r="W4" s="1289"/>
      <c r="X4" s="1289"/>
      <c r="Y4" s="1289"/>
      <c r="Z4" s="1289"/>
      <c r="AA4" s="1289"/>
      <c r="AB4" s="1290"/>
      <c r="AC4" s="1288" t="e">
        <f>INDEX(PT_DIFFERENTIATION_CS,MATCH(C4,PT_DIFFERENTIATION_CS_ID,0))</f>
        <v>#N/A</v>
      </c>
      <c r="AD4" s="1289"/>
      <c r="AE4" s="1289"/>
      <c r="AF4" s="1289"/>
      <c r="AG4" s="1289"/>
      <c r="AH4" s="1289"/>
      <c r="AI4" s="1289"/>
      <c r="AJ4" s="129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4"/>
      <c r="AK6" s="753" t="s">
        <v>486</v>
      </c>
      <c r="AM6" s="69"/>
      <c r="AN6" s="69" t="str">
        <f t="shared" si="0"/>
        <v>Группа потребителей</v>
      </c>
      <c r="AO6" s="69"/>
      <c r="AP6" s="69"/>
      <c r="AQ6" s="11">
        <v>0</v>
      </c>
    </row>
    <row r="7" spans="1:43"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813"/>
      <c r="AK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388"/>
      <c r="AK8" s="1368"/>
      <c r="AM8" s="69"/>
      <c r="AN8" s="69" t="str">
        <f t="shared" si="0"/>
        <v/>
      </c>
      <c r="AO8" s="69"/>
      <c r="AP8" s="69"/>
      <c r="AQ8" s="11">
        <v>0</v>
      </c>
    </row>
    <row r="9" spans="1:43"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2"/>
      <c r="AG15" s="1291" t="s">
        <v>67</v>
      </c>
      <c r="AH15" s="1292"/>
      <c r="AI15" s="1291" t="s">
        <v>67</v>
      </c>
      <c r="AQ15" s="11">
        <v>0</v>
      </c>
    </row>
    <row r="16" spans="1:43" ht="14.25" hidden="1" customHeight="1">
      <c r="AC16" s="368"/>
      <c r="AD16" s="368"/>
      <c r="AE16" s="192" t="str">
        <f>AF15&amp;"-"&amp;AH15</f>
        <v>-</v>
      </c>
      <c r="AF16" s="1291"/>
      <c r="AG16" s="1291"/>
      <c r="AH16" s="1291"/>
      <c r="AI16" s="1291"/>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7" customHeight="1">
      <c r="Q23" s="28"/>
      <c r="R23" s="28"/>
      <c r="S23" s="739"/>
      <c r="T23" s="10"/>
      <c r="U23" s="10"/>
      <c r="AQ23" s="11">
        <v>14</v>
      </c>
    </row>
    <row r="24" spans="1:43" ht="14.7" customHeight="1">
      <c r="Q24" s="28"/>
      <c r="R24" s="28"/>
      <c r="S24" s="127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59"/>
      <c r="AQ24" s="11">
        <v>14</v>
      </c>
    </row>
    <row r="25" spans="1:43"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7" customHeight="1">
      <c r="Q35" s="28"/>
      <c r="R35" s="28"/>
      <c r="S35" s="739"/>
      <c r="T35" s="10"/>
      <c r="U35" s="720"/>
      <c r="V35" s="1306"/>
      <c r="W35" s="1306"/>
      <c r="X35" s="1306"/>
      <c r="Y35" s="1306"/>
      <c r="Z35" s="1306"/>
      <c r="AA35" s="1306"/>
      <c r="AB35" s="1306"/>
      <c r="AC35" s="1306"/>
      <c r="AD35" s="1306"/>
      <c r="AE35" s="1306"/>
      <c r="AF35" s="1306"/>
      <c r="AG35" s="1306"/>
      <c r="AH35" s="1306"/>
      <c r="AI35" s="1306"/>
      <c r="AQ35" s="11">
        <v>14</v>
      </c>
    </row>
    <row r="36" spans="1:43"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t="s">
        <v>305</v>
      </c>
      <c r="AQ36" s="11">
        <v>14</v>
      </c>
    </row>
    <row r="37" spans="1:43"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14" t="s">
        <v>434</v>
      </c>
      <c r="AK37" s="1158"/>
      <c r="AQ37" s="11">
        <v>14</v>
      </c>
    </row>
    <row r="38" spans="1:43"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1315"/>
      <c r="AK38" s="1158"/>
      <c r="AQ38" s="11">
        <v>34</v>
      </c>
    </row>
    <row r="39" spans="1:43" ht="35.7000000000000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493</v>
      </c>
      <c r="W39" s="39" t="s">
        <v>494</v>
      </c>
      <c r="X39" s="39" t="s">
        <v>495</v>
      </c>
      <c r="Y39" s="39" t="s">
        <v>448</v>
      </c>
      <c r="Z39" s="1260" t="s">
        <v>449</v>
      </c>
      <c r="AA39" s="1274"/>
      <c r="AB39" s="1313"/>
      <c r="AC39" s="340" t="s">
        <v>493</v>
      </c>
      <c r="AD39" s="39" t="s">
        <v>494</v>
      </c>
      <c r="AE39" s="39" t="s">
        <v>495</v>
      </c>
      <c r="AF39" s="39" t="s">
        <v>448</v>
      </c>
      <c r="AG39" s="1260" t="s">
        <v>449</v>
      </c>
      <c r="AH39" s="1274"/>
      <c r="AI39" s="1313"/>
      <c r="AJ39" s="1316"/>
      <c r="AK39" s="115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88"/>
      <c r="W41" s="1289"/>
      <c r="X41" s="1289"/>
      <c r="Y41" s="1289"/>
      <c r="Z41" s="1289"/>
      <c r="AA41" s="1289"/>
      <c r="AB41" s="1290"/>
      <c r="AC41" s="1288" t="str">
        <f>INDEX(PT_DIFFERENTIATION_NTAR,MATCH(A41,PT_DIFFERENTIATION_NTAR_ID,0))</f>
        <v/>
      </c>
      <c r="AD41" s="1289"/>
      <c r="AE41" s="1289"/>
      <c r="AF41" s="1289"/>
      <c r="AG41" s="1289"/>
      <c r="AH41" s="1289"/>
      <c r="AI41" s="1289"/>
      <c r="AJ41" s="129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88"/>
      <c r="W42" s="1289"/>
      <c r="X42" s="1289"/>
      <c r="Y42" s="1289"/>
      <c r="Z42" s="1289"/>
      <c r="AA42" s="1289"/>
      <c r="AB42" s="1290"/>
      <c r="AC42" s="1288" t="str">
        <f>INDEX(PT_DIFFERENTIATION_TER,MATCH(B42,PT_DIFFERENTIATION_TER_ID,0))</f>
        <v/>
      </c>
      <c r="AD42" s="1289"/>
      <c r="AE42" s="1289"/>
      <c r="AF42" s="1289"/>
      <c r="AG42" s="1289"/>
      <c r="AH42" s="1289"/>
      <c r="AI42" s="1289"/>
      <c r="AJ42" s="1290"/>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95"/>
      <c r="F43" s="1295"/>
      <c r="G43" s="1294">
        <v>1</v>
      </c>
      <c r="H43" s="769"/>
      <c r="I43" s="769"/>
      <c r="J43" s="769"/>
      <c r="K43" s="769"/>
      <c r="L43" s="770"/>
      <c r="M43" s="426"/>
      <c r="N43" s="426"/>
      <c r="O43" s="426"/>
      <c r="P43" s="206"/>
      <c r="Q43" s="204"/>
      <c r="R43" s="205"/>
      <c r="S43" s="709" t="str">
        <f>INDEX(PT_DIFFERENTIATION_NUM_CS,MATCH(C43,PT_DIFFERENTIATION_CS_ID,0))</f>
        <v>..</v>
      </c>
      <c r="T43" s="178" t="s">
        <v>482</v>
      </c>
      <c r="U43" s="171"/>
      <c r="V43" s="1288"/>
      <c r="W43" s="1289"/>
      <c r="X43" s="1289"/>
      <c r="Y43" s="1289"/>
      <c r="Z43" s="1289"/>
      <c r="AA43" s="1289"/>
      <c r="AB43" s="1290"/>
      <c r="AC43" s="1288" t="str">
        <f>INDEX(PT_DIFFERENTIATION_CS,MATCH(C43,PT_DIFFERENTIATION_CS_ID,0))</f>
        <v/>
      </c>
      <c r="AD43" s="1289"/>
      <c r="AE43" s="1289"/>
      <c r="AF43" s="1289"/>
      <c r="AG43" s="1289"/>
      <c r="AH43" s="1289"/>
      <c r="AI43" s="1289"/>
      <c r="AJ43" s="129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95"/>
      <c r="F44" s="1295"/>
      <c r="G44" s="1295"/>
      <c r="H44" s="1295"/>
      <c r="I44" s="1296" t="str">
        <f>S43&amp;".1"</f>
        <v>...1</v>
      </c>
      <c r="J44" s="769"/>
      <c r="K44" s="769"/>
      <c r="L44" s="770"/>
      <c r="P44" s="1298">
        <v>1</v>
      </c>
      <c r="Q44" s="122"/>
      <c r="R44" s="208"/>
      <c r="S44" s="709" t="str">
        <f>$I44</f>
        <v>...1</v>
      </c>
      <c r="T44" s="164" t="s">
        <v>484</v>
      </c>
      <c r="U44" s="171"/>
      <c r="V44" s="1362"/>
      <c r="W44" s="1363"/>
      <c r="X44" s="1363"/>
      <c r="Y44" s="1363"/>
      <c r="Z44" s="1363"/>
      <c r="AA44" s="1363"/>
      <c r="AB44" s="1364"/>
      <c r="AC44" s="1365"/>
      <c r="AD44" s="1366"/>
      <c r="AE44" s="1366"/>
      <c r="AF44" s="1366"/>
      <c r="AG44" s="1366"/>
      <c r="AH44" s="1366"/>
      <c r="AI44" s="1366"/>
      <c r="AJ44" s="1367"/>
      <c r="AK44" s="729" t="s">
        <v>485</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95"/>
      <c r="F45" s="1295"/>
      <c r="G45" s="1295"/>
      <c r="H45" s="1295"/>
      <c r="I45" s="1297"/>
      <c r="J45" s="1296" t="str">
        <f>I44&amp;".1"</f>
        <v>...1.1</v>
      </c>
      <c r="K45" s="769"/>
      <c r="L45" s="770" t="s">
        <v>410</v>
      </c>
      <c r="P45" s="1298"/>
      <c r="Q45" s="1298">
        <v>1</v>
      </c>
      <c r="R45" s="209"/>
      <c r="S45" s="709" t="str">
        <f>$J45</f>
        <v>...1.1</v>
      </c>
      <c r="T45" s="165" t="s">
        <v>411</v>
      </c>
      <c r="U45" s="171"/>
      <c r="V45" s="1282"/>
      <c r="W45" s="1283"/>
      <c r="X45" s="1283"/>
      <c r="Y45" s="1283"/>
      <c r="Z45" s="1283"/>
      <c r="AA45" s="1283"/>
      <c r="AB45" s="1284"/>
      <c r="AC45" s="1282"/>
      <c r="AD45" s="1283"/>
      <c r="AE45" s="1283"/>
      <c r="AF45" s="1283"/>
      <c r="AG45" s="1283"/>
      <c r="AH45" s="1283"/>
      <c r="AI45" s="1283"/>
      <c r="AJ45" s="1284"/>
      <c r="AK45" s="753" t="s">
        <v>486</v>
      </c>
      <c r="AM45" s="69"/>
      <c r="AN45" s="69" t="str">
        <f t="shared" si="1"/>
        <v>Группа потребителей</v>
      </c>
      <c r="AO45" s="69"/>
      <c r="AP45" s="69"/>
      <c r="AQ45" s="11">
        <v>23</v>
      </c>
    </row>
    <row r="46" spans="1:43" ht="24" customHeight="1">
      <c r="A46" s="769" t="s">
        <v>235</v>
      </c>
      <c r="B46" s="769" t="s">
        <v>236</v>
      </c>
      <c r="C46" s="769" t="s">
        <v>237</v>
      </c>
      <c r="D46" s="769" t="s">
        <v>498</v>
      </c>
      <c r="E46" s="1295"/>
      <c r="F46" s="1295"/>
      <c r="G46" s="1295"/>
      <c r="H46" s="1295"/>
      <c r="I46" s="1297"/>
      <c r="J46" s="1297"/>
      <c r="K46" s="1296" t="str">
        <f>J45&amp;".1"</f>
        <v>...1.1.1</v>
      </c>
      <c r="L46" s="770"/>
      <c r="P46" s="1298"/>
      <c r="Q46" s="1298"/>
      <c r="R46" s="209">
        <v>1</v>
      </c>
      <c r="S46" s="709" t="str">
        <f>$K46</f>
        <v>...1.1.1</v>
      </c>
      <c r="T46" s="812"/>
      <c r="U46" s="171"/>
      <c r="V46" s="306"/>
      <c r="W46" s="306"/>
      <c r="X46" s="728"/>
      <c r="Y46" s="1299"/>
      <c r="Z46" s="1168" t="s">
        <v>67</v>
      </c>
      <c r="AA46" s="1299"/>
      <c r="AB46" s="1168" t="s">
        <v>67</v>
      </c>
      <c r="AC46" s="306"/>
      <c r="AD46" s="306"/>
      <c r="AE46" s="728"/>
      <c r="AF46" s="1299"/>
      <c r="AG46" s="1168" t="s">
        <v>67</v>
      </c>
      <c r="AH46" s="1301"/>
      <c r="AI46" s="1168" t="s">
        <v>67</v>
      </c>
      <c r="AJ46" s="813"/>
      <c r="AK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95"/>
      <c r="F47" s="1295"/>
      <c r="G47" s="1295"/>
      <c r="H47" s="1295"/>
      <c r="I47" s="1297"/>
      <c r="J47" s="1297"/>
      <c r="K47" s="1296"/>
      <c r="L47" s="770"/>
      <c r="P47" s="1298"/>
      <c r="Q47" s="1298"/>
      <c r="R47" s="209"/>
      <c r="S47" s="65"/>
      <c r="T47" s="171"/>
      <c r="U47" s="171"/>
      <c r="V47" s="191"/>
      <c r="W47" s="191"/>
      <c r="X47" s="192" t="str">
        <f>Y46&amp;"-"&amp;AA46</f>
        <v>-</v>
      </c>
      <c r="Y47" s="1300"/>
      <c r="Z47" s="1168"/>
      <c r="AA47" s="1300"/>
      <c r="AB47" s="1168"/>
      <c r="AC47" s="191"/>
      <c r="AD47" s="191"/>
      <c r="AE47" s="192" t="str">
        <f>AF46&amp;"-"&amp;AH46</f>
        <v>-</v>
      </c>
      <c r="AF47" s="1300"/>
      <c r="AG47" s="1168"/>
      <c r="AH47" s="1302"/>
      <c r="AI47" s="1168"/>
      <c r="AJ47" s="388"/>
      <c r="AK47" s="1368"/>
      <c r="AM47" s="69"/>
      <c r="AN47" s="69" t="str">
        <f t="shared" si="1"/>
        <v/>
      </c>
      <c r="AO47" s="69"/>
      <c r="AP47" s="69"/>
      <c r="AQ47" s="11">
        <v>0</v>
      </c>
    </row>
    <row r="48" spans="1:43" ht="21" customHeight="1">
      <c r="A48" s="769" t="s">
        <v>235</v>
      </c>
      <c r="B48" s="769" t="s">
        <v>236</v>
      </c>
      <c r="C48" s="769" t="s">
        <v>237</v>
      </c>
      <c r="D48" s="769" t="s">
        <v>498</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2.05" customHeight="1">
      <c r="A49" s="769" t="s">
        <v>235</v>
      </c>
      <c r="B49" s="769" t="s">
        <v>236</v>
      </c>
      <c r="C49" s="769" t="s">
        <v>237</v>
      </c>
      <c r="D49" s="769" t="s">
        <v>498</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235</v>
      </c>
      <c r="B50" s="769" t="s">
        <v>236</v>
      </c>
      <c r="C50" s="769" t="s">
        <v>237</v>
      </c>
      <c r="D50" s="769" t="s">
        <v>498</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Q55" s="11">
        <v>14</v>
      </c>
    </row>
    <row r="56" spans="1:43" ht="14.7" customHeight="1">
      <c r="O56" s="63"/>
      <c r="AQ56" s="11">
        <v>14</v>
      </c>
    </row>
    <row r="57" spans="1:43"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22.5" hidden="1" customHeight="1">
      <c r="AQ1" s="11" t="s">
        <v>14</v>
      </c>
    </row>
    <row r="2" spans="1:43"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9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482</v>
      </c>
      <c r="U4" s="171"/>
      <c r="V4" s="1288"/>
      <c r="W4" s="1289"/>
      <c r="X4" s="1289"/>
      <c r="Y4" s="1289"/>
      <c r="Z4" s="1289"/>
      <c r="AA4" s="1289"/>
      <c r="AB4" s="1290"/>
      <c r="AC4" s="1288" t="e">
        <f>INDEX(PT_DIFFERENTIATION_CS,MATCH(C4,PT_DIFFERENTIATION_CS_ID,0))</f>
        <v>#N/A</v>
      </c>
      <c r="AD4" s="1289"/>
      <c r="AE4" s="1289"/>
      <c r="AF4" s="1289"/>
      <c r="AG4" s="1289"/>
      <c r="AH4" s="1289"/>
      <c r="AI4" s="1289"/>
      <c r="AJ4" s="129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4"/>
      <c r="AK6" s="753" t="s">
        <v>486</v>
      </c>
      <c r="AM6" s="69"/>
      <c r="AN6" s="69" t="str">
        <f t="shared" si="0"/>
        <v>Группа потребителей</v>
      </c>
      <c r="AO6" s="69"/>
      <c r="AP6" s="69"/>
      <c r="AQ6" s="11">
        <v>0</v>
      </c>
    </row>
    <row r="7" spans="1:43"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813"/>
      <c r="AK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388"/>
      <c r="AK8" s="1368"/>
      <c r="AM8" s="69"/>
      <c r="AN8" s="69" t="str">
        <f t="shared" si="0"/>
        <v/>
      </c>
      <c r="AO8" s="69"/>
      <c r="AP8" s="69"/>
      <c r="AQ8" s="11">
        <v>0</v>
      </c>
    </row>
    <row r="9" spans="1:43"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2"/>
      <c r="AG15" s="1291" t="s">
        <v>67</v>
      </c>
      <c r="AH15" s="1292"/>
      <c r="AI15" s="1291" t="s">
        <v>67</v>
      </c>
      <c r="AQ15" s="11">
        <v>0</v>
      </c>
    </row>
    <row r="16" spans="1:43" ht="14.25" hidden="1" customHeight="1">
      <c r="AC16" s="368"/>
      <c r="AD16" s="368"/>
      <c r="AE16" s="192" t="str">
        <f>AF15&amp;"-"&amp;AH15</f>
        <v>-</v>
      </c>
      <c r="AF16" s="1291"/>
      <c r="AG16" s="1291"/>
      <c r="AH16" s="1291"/>
      <c r="AI16" s="1291"/>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7" customHeight="1">
      <c r="Q23" s="28"/>
      <c r="R23" s="28"/>
      <c r="S23" s="739"/>
      <c r="T23" s="10"/>
      <c r="U23" s="10"/>
      <c r="AQ23" s="11">
        <v>14</v>
      </c>
    </row>
    <row r="24" spans="1:43" ht="14.7" customHeight="1">
      <c r="Q24" s="28"/>
      <c r="R24" s="28"/>
      <c r="S24" s="127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59"/>
      <c r="AQ24" s="11">
        <v>14</v>
      </c>
    </row>
    <row r="25" spans="1:43"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7" customHeight="1">
      <c r="Q35" s="28"/>
      <c r="R35" s="28"/>
      <c r="S35" s="739"/>
      <c r="T35" s="10"/>
      <c r="U35" s="720"/>
      <c r="V35" s="1306"/>
      <c r="W35" s="1306"/>
      <c r="X35" s="1306"/>
      <c r="Y35" s="1306"/>
      <c r="Z35" s="1306"/>
      <c r="AA35" s="1306"/>
      <c r="AB35" s="1306"/>
      <c r="AC35" s="1306"/>
      <c r="AD35" s="1306"/>
      <c r="AE35" s="1306"/>
      <c r="AF35" s="1306"/>
      <c r="AG35" s="1306"/>
      <c r="AH35" s="1306"/>
      <c r="AI35" s="1306"/>
      <c r="AQ35" s="11">
        <v>14</v>
      </c>
    </row>
    <row r="36" spans="1:43"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t="s">
        <v>305</v>
      </c>
      <c r="AQ36" s="11">
        <v>14</v>
      </c>
    </row>
    <row r="37" spans="1:43"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14" t="s">
        <v>434</v>
      </c>
      <c r="AK37" s="1158"/>
      <c r="AQ37" s="11">
        <v>14</v>
      </c>
    </row>
    <row r="38" spans="1:43"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1315"/>
      <c r="AK38" s="1158"/>
      <c r="AQ38" s="11">
        <v>34</v>
      </c>
    </row>
    <row r="39" spans="1:43" ht="35.7000000000000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493</v>
      </c>
      <c r="W39" s="39" t="s">
        <v>494</v>
      </c>
      <c r="X39" s="39" t="s">
        <v>495</v>
      </c>
      <c r="Y39" s="39" t="s">
        <v>448</v>
      </c>
      <c r="Z39" s="1260" t="s">
        <v>449</v>
      </c>
      <c r="AA39" s="1274"/>
      <c r="AB39" s="1313"/>
      <c r="AC39" s="340" t="s">
        <v>493</v>
      </c>
      <c r="AD39" s="39" t="s">
        <v>494</v>
      </c>
      <c r="AE39" s="39" t="s">
        <v>495</v>
      </c>
      <c r="AF39" s="39" t="s">
        <v>448</v>
      </c>
      <c r="AG39" s="1260" t="s">
        <v>449</v>
      </c>
      <c r="AH39" s="1274"/>
      <c r="AI39" s="1313"/>
      <c r="AJ39" s="1316"/>
      <c r="AK39" s="115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88"/>
      <c r="W41" s="1289"/>
      <c r="X41" s="1289"/>
      <c r="Y41" s="1289"/>
      <c r="Z41" s="1289"/>
      <c r="AA41" s="1289"/>
      <c r="AB41" s="1290"/>
      <c r="AC41" s="1288" t="str">
        <f>INDEX(PT_DIFFERENTIATION_NTAR,MATCH(A41,PT_DIFFERENTIATION_NTAR_ID,0))</f>
        <v/>
      </c>
      <c r="AD41" s="1289"/>
      <c r="AE41" s="1289"/>
      <c r="AF41" s="1289"/>
      <c r="AG41" s="1289"/>
      <c r="AH41" s="1289"/>
      <c r="AI41" s="1289"/>
      <c r="AJ41" s="129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88"/>
      <c r="W42" s="1289"/>
      <c r="X42" s="1289"/>
      <c r="Y42" s="1289"/>
      <c r="Z42" s="1289"/>
      <c r="AA42" s="1289"/>
      <c r="AB42" s="1290"/>
      <c r="AC42" s="1288" t="str">
        <f>INDEX(PT_DIFFERENTIATION_TER,MATCH(B42,PT_DIFFERENTIATION_TER_ID,0))</f>
        <v/>
      </c>
      <c r="AD42" s="1289"/>
      <c r="AE42" s="1289"/>
      <c r="AF42" s="1289"/>
      <c r="AG42" s="1289"/>
      <c r="AH42" s="1289"/>
      <c r="AI42" s="1289"/>
      <c r="AJ42" s="1290"/>
      <c r="AK42" s="729" t="s">
        <v>402</v>
      </c>
      <c r="AM42" s="69"/>
      <c r="AN42" s="69" t="str">
        <f t="shared" si="1"/>
        <v>Территория действия тарифа</v>
      </c>
      <c r="AO42" s="69"/>
      <c r="AP42" s="69"/>
      <c r="AQ42" s="11">
        <v>23</v>
      </c>
    </row>
    <row r="43" spans="1:43" ht="24" customHeight="1">
      <c r="A43" s="769" t="s">
        <v>240</v>
      </c>
      <c r="B43" s="769" t="s">
        <v>241</v>
      </c>
      <c r="C43" s="769" t="s">
        <v>242</v>
      </c>
      <c r="D43" s="769"/>
      <c r="E43" s="1295"/>
      <c r="F43" s="1295"/>
      <c r="G43" s="1294">
        <v>1</v>
      </c>
      <c r="H43" s="769"/>
      <c r="I43" s="769"/>
      <c r="J43" s="769"/>
      <c r="K43" s="769"/>
      <c r="L43" s="770"/>
      <c r="M43" s="426"/>
      <c r="N43" s="426"/>
      <c r="O43" s="426"/>
      <c r="P43" s="206"/>
      <c r="Q43" s="204"/>
      <c r="R43" s="205"/>
      <c r="S43" s="709" t="str">
        <f>INDEX(PT_DIFFERENTIATION_NUM_CS,MATCH(C43,PT_DIFFERENTIATION_CS_ID,0))</f>
        <v>..</v>
      </c>
      <c r="T43" s="178" t="s">
        <v>482</v>
      </c>
      <c r="U43" s="171"/>
      <c r="V43" s="1288"/>
      <c r="W43" s="1289"/>
      <c r="X43" s="1289"/>
      <c r="Y43" s="1289"/>
      <c r="Z43" s="1289"/>
      <c r="AA43" s="1289"/>
      <c r="AB43" s="1290"/>
      <c r="AC43" s="1288" t="str">
        <f>INDEX(PT_DIFFERENTIATION_CS,MATCH(C43,PT_DIFFERENTIATION_CS_ID,0))</f>
        <v/>
      </c>
      <c r="AD43" s="1289"/>
      <c r="AE43" s="1289"/>
      <c r="AF43" s="1289"/>
      <c r="AG43" s="1289"/>
      <c r="AH43" s="1289"/>
      <c r="AI43" s="1289"/>
      <c r="AJ43" s="129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499</v>
      </c>
      <c r="E44" s="1295"/>
      <c r="F44" s="1295"/>
      <c r="G44" s="1295"/>
      <c r="H44" s="1295"/>
      <c r="I44" s="1296" t="str">
        <f>S43&amp;".1"</f>
        <v>...1</v>
      </c>
      <c r="J44" s="769"/>
      <c r="K44" s="769"/>
      <c r="L44" s="770"/>
      <c r="P44" s="1298">
        <v>1</v>
      </c>
      <c r="Q44" s="122"/>
      <c r="R44" s="208"/>
      <c r="S44" s="709" t="str">
        <f>$I44</f>
        <v>...1</v>
      </c>
      <c r="T44" s="164" t="s">
        <v>484</v>
      </c>
      <c r="U44" s="171"/>
      <c r="V44" s="1362"/>
      <c r="W44" s="1363"/>
      <c r="X44" s="1363"/>
      <c r="Y44" s="1363"/>
      <c r="Z44" s="1363"/>
      <c r="AA44" s="1363"/>
      <c r="AB44" s="1364"/>
      <c r="AC44" s="1365"/>
      <c r="AD44" s="1366"/>
      <c r="AE44" s="1366"/>
      <c r="AF44" s="1366"/>
      <c r="AG44" s="1366"/>
      <c r="AH44" s="1366"/>
      <c r="AI44" s="1366"/>
      <c r="AJ44" s="1367"/>
      <c r="AK44" s="729" t="s">
        <v>485</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499</v>
      </c>
      <c r="E45" s="1295"/>
      <c r="F45" s="1295"/>
      <c r="G45" s="1295"/>
      <c r="H45" s="1295"/>
      <c r="I45" s="1297"/>
      <c r="J45" s="1296" t="str">
        <f>I44&amp;".1"</f>
        <v>...1.1</v>
      </c>
      <c r="K45" s="769"/>
      <c r="L45" s="770" t="s">
        <v>410</v>
      </c>
      <c r="P45" s="1298"/>
      <c r="Q45" s="1298">
        <v>1</v>
      </c>
      <c r="R45" s="209"/>
      <c r="S45" s="709" t="str">
        <f>$J45</f>
        <v>...1.1</v>
      </c>
      <c r="T45" s="165" t="s">
        <v>411</v>
      </c>
      <c r="U45" s="171"/>
      <c r="V45" s="1282"/>
      <c r="W45" s="1283"/>
      <c r="X45" s="1283"/>
      <c r="Y45" s="1283"/>
      <c r="Z45" s="1283"/>
      <c r="AA45" s="1283"/>
      <c r="AB45" s="1284"/>
      <c r="AC45" s="1282"/>
      <c r="AD45" s="1283"/>
      <c r="AE45" s="1283"/>
      <c r="AF45" s="1283"/>
      <c r="AG45" s="1283"/>
      <c r="AH45" s="1283"/>
      <c r="AI45" s="1283"/>
      <c r="AJ45" s="1284"/>
      <c r="AK45" s="753" t="s">
        <v>486</v>
      </c>
      <c r="AM45" s="69"/>
      <c r="AN45" s="69" t="str">
        <f t="shared" si="1"/>
        <v>Группа потребителей</v>
      </c>
      <c r="AO45" s="69"/>
      <c r="AP45" s="69"/>
      <c r="AQ45" s="11">
        <v>23</v>
      </c>
    </row>
    <row r="46" spans="1:43" ht="24" customHeight="1">
      <c r="A46" s="769" t="s">
        <v>240</v>
      </c>
      <c r="B46" s="769" t="s">
        <v>241</v>
      </c>
      <c r="C46" s="769" t="s">
        <v>242</v>
      </c>
      <c r="D46" s="769" t="s">
        <v>499</v>
      </c>
      <c r="E46" s="1295"/>
      <c r="F46" s="1295"/>
      <c r="G46" s="1295"/>
      <c r="H46" s="1295"/>
      <c r="I46" s="1297"/>
      <c r="J46" s="1297"/>
      <c r="K46" s="1296" t="str">
        <f>J45&amp;".1"</f>
        <v>...1.1.1</v>
      </c>
      <c r="L46" s="770"/>
      <c r="P46" s="1298"/>
      <c r="Q46" s="1298"/>
      <c r="R46" s="209">
        <v>1</v>
      </c>
      <c r="S46" s="709" t="str">
        <f>$K46</f>
        <v>...1.1.1</v>
      </c>
      <c r="T46" s="812"/>
      <c r="U46" s="171"/>
      <c r="V46" s="306"/>
      <c r="W46" s="306"/>
      <c r="X46" s="728"/>
      <c r="Y46" s="1299"/>
      <c r="Z46" s="1168" t="s">
        <v>67</v>
      </c>
      <c r="AA46" s="1299"/>
      <c r="AB46" s="1168" t="s">
        <v>67</v>
      </c>
      <c r="AC46" s="306"/>
      <c r="AD46" s="306"/>
      <c r="AE46" s="728"/>
      <c r="AF46" s="1299"/>
      <c r="AG46" s="1168" t="s">
        <v>67</v>
      </c>
      <c r="AH46" s="1301"/>
      <c r="AI46" s="1168" t="s">
        <v>67</v>
      </c>
      <c r="AJ46" s="813"/>
      <c r="AK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499</v>
      </c>
      <c r="E47" s="1295"/>
      <c r="F47" s="1295"/>
      <c r="G47" s="1295"/>
      <c r="H47" s="1295"/>
      <c r="I47" s="1297"/>
      <c r="J47" s="1297"/>
      <c r="K47" s="1296"/>
      <c r="L47" s="770"/>
      <c r="P47" s="1298"/>
      <c r="Q47" s="1298"/>
      <c r="R47" s="209"/>
      <c r="S47" s="65"/>
      <c r="T47" s="171"/>
      <c r="U47" s="171"/>
      <c r="V47" s="191"/>
      <c r="W47" s="191"/>
      <c r="X47" s="192" t="str">
        <f>Y46&amp;"-"&amp;AA46</f>
        <v>-</v>
      </c>
      <c r="Y47" s="1300"/>
      <c r="Z47" s="1168"/>
      <c r="AA47" s="1300"/>
      <c r="AB47" s="1168"/>
      <c r="AC47" s="191"/>
      <c r="AD47" s="191"/>
      <c r="AE47" s="192" t="str">
        <f>AF46&amp;"-"&amp;AH46</f>
        <v>-</v>
      </c>
      <c r="AF47" s="1300"/>
      <c r="AG47" s="1168"/>
      <c r="AH47" s="1302"/>
      <c r="AI47" s="1168"/>
      <c r="AJ47" s="388"/>
      <c r="AK47" s="1368"/>
      <c r="AM47" s="69"/>
      <c r="AN47" s="69" t="str">
        <f t="shared" si="1"/>
        <v/>
      </c>
      <c r="AO47" s="69"/>
      <c r="AP47" s="69"/>
      <c r="AQ47" s="11">
        <v>0</v>
      </c>
    </row>
    <row r="48" spans="1:43" ht="21" customHeight="1">
      <c r="A48" s="769" t="s">
        <v>240</v>
      </c>
      <c r="B48" s="769" t="s">
        <v>241</v>
      </c>
      <c r="C48" s="769" t="s">
        <v>242</v>
      </c>
      <c r="D48" s="769" t="s">
        <v>499</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2.05" customHeight="1">
      <c r="A49" s="769" t="s">
        <v>240</v>
      </c>
      <c r="B49" s="769" t="s">
        <v>241</v>
      </c>
      <c r="C49" s="769" t="s">
        <v>242</v>
      </c>
      <c r="D49" s="769" t="s">
        <v>499</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240</v>
      </c>
      <c r="B50" s="769" t="s">
        <v>241</v>
      </c>
      <c r="C50" s="769" t="s">
        <v>242</v>
      </c>
      <c r="D50" s="769" t="s">
        <v>499</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Q55" s="11">
        <v>14</v>
      </c>
    </row>
    <row r="56" spans="1:43" ht="14.7" customHeight="1">
      <c r="O56" s="63"/>
      <c r="AQ56" s="11">
        <v>14</v>
      </c>
    </row>
    <row r="57" spans="1:43"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1" hidden="1" customWidth="1"/>
    <col min="4" max="4" width="11.875" style="11" hidden="1" customWidth="1"/>
    <col min="5" max="11" width="10.125" style="11" hidden="1" customWidth="1"/>
    <col min="12" max="12" width="10.125" style="58" hidden="1" customWidth="1"/>
    <col min="13" max="15" width="10.1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25" style="11" customWidth="1"/>
    <col min="22" max="23" width="21.75" style="11" hidden="1" customWidth="1"/>
    <col min="24" max="24" width="11.75" style="11" hidden="1" customWidth="1"/>
    <col min="25" max="25" width="3.75" style="11" hidden="1" customWidth="1"/>
    <col min="26" max="26" width="11.75" style="11" hidden="1" customWidth="1"/>
    <col min="27" max="27" width="8.625" style="11" hidden="1" customWidth="1"/>
    <col min="28" max="28" width="27" style="11" customWidth="1"/>
    <col min="29" max="29" width="24.625" style="11" customWidth="1"/>
    <col min="30" max="31" width="21"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0.75" hidden="1" customHeight="1">
      <c r="AQ1" s="11" t="s">
        <v>14</v>
      </c>
    </row>
    <row r="2" spans="1:43" ht="21" hidden="1" customHeight="1">
      <c r="A2" s="731"/>
      <c r="B2" s="731"/>
      <c r="C2" s="731"/>
      <c r="D2" s="731"/>
      <c r="E2" s="1320">
        <v>1</v>
      </c>
      <c r="F2" s="731"/>
      <c r="G2" s="731"/>
      <c r="H2" s="731"/>
      <c r="I2" s="731"/>
      <c r="J2" s="731"/>
      <c r="K2" s="731"/>
      <c r="L2" s="754"/>
      <c r="M2" s="342"/>
      <c r="N2" s="342"/>
      <c r="O2" s="342"/>
      <c r="Q2" s="62"/>
      <c r="R2" s="207"/>
      <c r="S2" s="709" t="e">
        <f>INDEX(PT_DIFFERENTIATION_NUM_NTAR,MATCH(A2,PT_DIFFERENTIATION_NTAR_ID,0))</f>
        <v>#N/A</v>
      </c>
      <c r="T2" s="67" t="s">
        <v>124</v>
      </c>
      <c r="U2" s="171"/>
      <c r="V2" s="1289"/>
      <c r="W2" s="1289"/>
      <c r="X2" s="1289"/>
      <c r="Y2" s="1289"/>
      <c r="Z2" s="1289"/>
      <c r="AA2" s="1290"/>
      <c r="AB2" s="1041"/>
      <c r="AC2" s="1289" t="e">
        <f>INDEX(PT_DIFFERENTIATION_NTAR,MATCH(A2,PT_DIFFERENTIATION_NTAR_ID,0))</f>
        <v>#N/A</v>
      </c>
      <c r="AD2" s="1289"/>
      <c r="AE2" s="1289"/>
      <c r="AF2" s="1289"/>
      <c r="AG2" s="1289"/>
      <c r="AH2" s="1289"/>
      <c r="AI2" s="1289"/>
      <c r="AJ2" s="1290"/>
      <c r="AK2" s="729" t="s">
        <v>400</v>
      </c>
      <c r="AM2" s="69"/>
      <c r="AN2" s="69" t="str">
        <f t="shared" ref="AN2:AN14" si="0">IF(T2="","",T2)</f>
        <v>Наименование тарифа</v>
      </c>
      <c r="AO2" s="69"/>
      <c r="AP2" s="69"/>
      <c r="AQ2" s="11">
        <v>0</v>
      </c>
    </row>
    <row r="3" spans="1:43" ht="21" hidden="1" customHeight="1">
      <c r="A3" s="731"/>
      <c r="B3" s="731"/>
      <c r="C3" s="731"/>
      <c r="D3" s="731"/>
      <c r="E3" s="1321"/>
      <c r="F3" s="1320">
        <v>1</v>
      </c>
      <c r="G3" s="731"/>
      <c r="H3" s="731"/>
      <c r="I3" s="731"/>
      <c r="J3" s="731"/>
      <c r="K3" s="731"/>
      <c r="L3" s="754"/>
      <c r="M3" s="342"/>
      <c r="N3" s="342"/>
      <c r="O3" s="342"/>
      <c r="P3" s="301"/>
      <c r="Q3" s="802"/>
      <c r="R3" s="205"/>
      <c r="S3" s="709" t="e">
        <f>INDEX(PT_DIFFERENTIATION_NUM_TER,MATCH(B3,PT_DIFFERENTIATION_TER_ID,0))</f>
        <v>#N/A</v>
      </c>
      <c r="T3" s="177" t="s">
        <v>401</v>
      </c>
      <c r="U3" s="171"/>
      <c r="V3" s="1289"/>
      <c r="W3" s="1289"/>
      <c r="X3" s="1289"/>
      <c r="Y3" s="1289"/>
      <c r="Z3" s="1289"/>
      <c r="AA3" s="1290"/>
      <c r="AB3" s="1041"/>
      <c r="AC3" s="1289"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2.5" hidden="1" customHeight="1">
      <c r="A4" s="731"/>
      <c r="B4" s="731"/>
      <c r="C4" s="731"/>
      <c r="D4" s="731"/>
      <c r="E4" s="1321"/>
      <c r="F4" s="1321"/>
      <c r="G4" s="1320">
        <v>1</v>
      </c>
      <c r="H4" s="731"/>
      <c r="I4" s="731"/>
      <c r="J4" s="731"/>
      <c r="K4" s="731"/>
      <c r="L4" s="754"/>
      <c r="M4" s="342"/>
      <c r="N4" s="342"/>
      <c r="O4" s="342"/>
      <c r="P4" s="131"/>
      <c r="Q4" s="802"/>
      <c r="R4" s="205"/>
      <c r="S4" s="709" t="e">
        <f>INDEX(PT_DIFFERENTIATION_NUM_CS,MATCH(C4,PT_DIFFERENTIATION_CS_ID,0))</f>
        <v>#N/A</v>
      </c>
      <c r="T4" s="178" t="s">
        <v>403</v>
      </c>
      <c r="U4" s="171"/>
      <c r="V4" s="1289"/>
      <c r="W4" s="1289"/>
      <c r="X4" s="1289"/>
      <c r="Y4" s="1289"/>
      <c r="Z4" s="1289"/>
      <c r="AA4" s="1290"/>
      <c r="AB4" s="1041"/>
      <c r="AC4" s="1289" t="e">
        <f>INDEX(PT_DIFFERENTIATION_CS,MATCH(C4,PT_DIFFERENTIATION_CS_ID,0))</f>
        <v>#N/A</v>
      </c>
      <c r="AD4" s="1289"/>
      <c r="AE4" s="1289"/>
      <c r="AF4" s="1289"/>
      <c r="AG4" s="1289"/>
      <c r="AH4" s="1289"/>
      <c r="AI4" s="1289"/>
      <c r="AJ4" s="1290"/>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21"/>
      <c r="F5" s="1321"/>
      <c r="G5" s="1321"/>
      <c r="H5" s="1320">
        <v>1</v>
      </c>
      <c r="I5" s="731"/>
      <c r="J5" s="731"/>
      <c r="K5" s="731"/>
      <c r="L5" s="754"/>
      <c r="M5" s="342"/>
      <c r="N5" s="342"/>
      <c r="O5" s="342"/>
      <c r="P5" s="131"/>
      <c r="Q5" s="802"/>
      <c r="R5" s="205"/>
      <c r="S5" s="709" t="e">
        <f>INDEX(PT_DIFFERENTIATION_NUM_IST_TE,MATCH(D5,PT_DIFFERENTIATION_IST_TE_ID,0))</f>
        <v>#N/A</v>
      </c>
      <c r="T5" s="179" t="s">
        <v>405</v>
      </c>
      <c r="U5" s="171"/>
      <c r="V5" s="1289"/>
      <c r="W5" s="1289"/>
      <c r="X5" s="1289"/>
      <c r="Y5" s="1289"/>
      <c r="Z5" s="1289"/>
      <c r="AA5" s="1290"/>
      <c r="AB5" s="1041"/>
      <c r="AC5" s="1289" t="e">
        <f>INDEX(PT_DIFFERENTIATION_IST_TE,MATCH(D5,PT_DIFFERENTIATION_IST_TE_ID,0))</f>
        <v>#N/A</v>
      </c>
      <c r="AD5" s="1289"/>
      <c r="AE5" s="1289"/>
      <c r="AF5" s="1289"/>
      <c r="AG5" s="1289"/>
      <c r="AH5" s="1289"/>
      <c r="AI5" s="1289"/>
      <c r="AJ5" s="1290"/>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21"/>
      <c r="F6" s="1321"/>
      <c r="G6" s="1321"/>
      <c r="H6" s="1321"/>
      <c r="I6" s="1158" t="e">
        <f>S5&amp;".1"</f>
        <v>#N/A</v>
      </c>
      <c r="J6" s="774"/>
      <c r="K6" s="774"/>
      <c r="L6" s="775" t="s">
        <v>407</v>
      </c>
      <c r="M6" s="722"/>
      <c r="N6" s="722"/>
      <c r="O6" s="722"/>
      <c r="P6" s="1298">
        <v>1</v>
      </c>
      <c r="Q6" s="122"/>
      <c r="R6" s="208"/>
      <c r="S6" s="362"/>
      <c r="T6" s="779"/>
      <c r="U6" s="780"/>
      <c r="V6" s="1326"/>
      <c r="W6" s="1326"/>
      <c r="X6" s="1326"/>
      <c r="Y6" s="1326"/>
      <c r="Z6" s="1326"/>
      <c r="AA6" s="1327"/>
      <c r="AB6" s="1043"/>
      <c r="AC6" s="1326"/>
      <c r="AD6" s="1326"/>
      <c r="AE6" s="1326"/>
      <c r="AF6" s="1326"/>
      <c r="AG6" s="1326"/>
      <c r="AH6" s="1326"/>
      <c r="AI6" s="1326"/>
      <c r="AJ6" s="1327"/>
      <c r="AK6" s="781"/>
      <c r="AM6" s="69"/>
      <c r="AN6" s="69" t="str">
        <f t="shared" si="0"/>
        <v/>
      </c>
      <c r="AO6" s="69"/>
      <c r="AP6" s="69"/>
      <c r="AQ6" s="68">
        <v>0</v>
      </c>
    </row>
    <row r="7" spans="1:43" s="68" customFormat="1" ht="0.75" hidden="1" customHeight="1">
      <c r="A7" s="774"/>
      <c r="B7" s="774"/>
      <c r="C7" s="774"/>
      <c r="D7" s="774"/>
      <c r="E7" s="1321"/>
      <c r="F7" s="1321"/>
      <c r="G7" s="1321"/>
      <c r="H7" s="1321"/>
      <c r="I7" s="1140"/>
      <c r="J7" s="1158" t="e">
        <f>S5&amp;".1"</f>
        <v>#N/A</v>
      </c>
      <c r="K7" s="774"/>
      <c r="L7" s="775"/>
      <c r="M7" s="722"/>
      <c r="N7" s="722"/>
      <c r="O7" s="722"/>
      <c r="P7" s="1298"/>
      <c r="Q7" s="1298">
        <v>1</v>
      </c>
      <c r="R7" s="209"/>
      <c r="S7" s="362"/>
      <c r="T7" s="794"/>
      <c r="U7" s="780"/>
      <c r="V7" s="1326"/>
      <c r="W7" s="1326"/>
      <c r="X7" s="1326"/>
      <c r="Y7" s="1326"/>
      <c r="Z7" s="1326"/>
      <c r="AA7" s="1327"/>
      <c r="AB7" s="1043"/>
      <c r="AC7" s="1326"/>
      <c r="AD7" s="1326"/>
      <c r="AE7" s="1326"/>
      <c r="AF7" s="1326"/>
      <c r="AG7" s="1326"/>
      <c r="AH7" s="1326"/>
      <c r="AI7" s="1326"/>
      <c r="AJ7" s="1327"/>
      <c r="AK7" s="781"/>
      <c r="AM7" s="69"/>
      <c r="AN7" s="69" t="str">
        <f t="shared" si="0"/>
        <v/>
      </c>
      <c r="AO7" s="69"/>
      <c r="AP7" s="69"/>
      <c r="AQ7" s="68">
        <v>0</v>
      </c>
    </row>
    <row r="8" spans="1:43" ht="21" hidden="1" customHeight="1">
      <c r="A8" s="731"/>
      <c r="B8" s="731"/>
      <c r="C8" s="731"/>
      <c r="D8" s="731"/>
      <c r="E8" s="1321"/>
      <c r="F8" s="1321"/>
      <c r="G8" s="1321"/>
      <c r="H8" s="1321"/>
      <c r="I8" s="1140"/>
      <c r="J8" s="1140"/>
      <c r="K8" s="41" t="e">
        <f>S5&amp;".1"</f>
        <v>#N/A</v>
      </c>
      <c r="L8" s="754"/>
      <c r="P8" s="1298"/>
      <c r="Q8" s="1298"/>
      <c r="R8" s="1058">
        <v>1</v>
      </c>
      <c r="S8" s="1045" t="e">
        <f>$K8</f>
        <v>#N/A</v>
      </c>
      <c r="T8" s="1044"/>
      <c r="U8" s="171"/>
      <c r="V8" s="306"/>
      <c r="W8" s="728"/>
      <c r="X8" s="943"/>
      <c r="Y8" s="297" t="s">
        <v>67</v>
      </c>
      <c r="Z8" s="943"/>
      <c r="AA8" s="297" t="s">
        <v>67</v>
      </c>
      <c r="AB8" s="1047"/>
      <c r="AC8" s="1046" t="s">
        <v>28</v>
      </c>
      <c r="AD8" s="306"/>
      <c r="AE8" s="728"/>
      <c r="AF8" s="943"/>
      <c r="AG8" s="297" t="s">
        <v>67</v>
      </c>
      <c r="AH8" s="943"/>
      <c r="AI8" s="297" t="s">
        <v>67</v>
      </c>
      <c r="AJ8" s="766"/>
      <c r="AK8" s="1317" t="s">
        <v>465</v>
      </c>
      <c r="AL8" s="68" t="e">
        <f ca="1">STRCHECKDATE(#REF!)</f>
        <v>#NAME?</v>
      </c>
      <c r="AM8" s="69"/>
      <c r="AN8" s="69" t="str">
        <f t="shared" si="0"/>
        <v/>
      </c>
      <c r="AO8" s="69"/>
      <c r="AP8" s="69"/>
      <c r="AQ8" s="11">
        <v>0</v>
      </c>
    </row>
    <row r="9" spans="1:43" ht="11.25" hidden="1" customHeight="1">
      <c r="A9" s="731"/>
      <c r="B9" s="731"/>
      <c r="C9" s="731"/>
      <c r="D9" s="731"/>
      <c r="E9" s="1321"/>
      <c r="F9" s="1321"/>
      <c r="G9" s="1321"/>
      <c r="H9" s="1321"/>
      <c r="I9" s="1140"/>
      <c r="J9" s="1158"/>
      <c r="K9" s="731"/>
      <c r="L9" s="754"/>
      <c r="P9" s="1298"/>
      <c r="Q9" s="1298"/>
      <c r="R9" s="208"/>
      <c r="S9" s="742"/>
      <c r="T9" s="166" t="s">
        <v>469</v>
      </c>
      <c r="U9" s="213"/>
      <c r="V9" s="213"/>
      <c r="W9" s="213"/>
      <c r="X9" s="213"/>
      <c r="Y9" s="213"/>
      <c r="Z9" s="213"/>
      <c r="AA9" s="213"/>
      <c r="AB9" s="213"/>
      <c r="AC9" s="213"/>
      <c r="AD9" s="213"/>
      <c r="AE9" s="213"/>
      <c r="AF9" s="213"/>
      <c r="AG9" s="213"/>
      <c r="AH9" s="213"/>
      <c r="AI9" s="213"/>
      <c r="AJ9" s="190"/>
      <c r="AK9" s="1319"/>
      <c r="AM9" s="69"/>
      <c r="AN9" s="69" t="str">
        <f t="shared" si="0"/>
        <v>Добавить строку</v>
      </c>
      <c r="AO9" s="69"/>
      <c r="AP9" s="69"/>
      <c r="AQ9" s="11">
        <v>0</v>
      </c>
    </row>
    <row r="10" spans="1:43" s="68" customFormat="1" ht="0.75" hidden="1" customHeight="1">
      <c r="A10" s="774"/>
      <c r="B10" s="774"/>
      <c r="C10" s="774"/>
      <c r="D10" s="774"/>
      <c r="E10" s="1321"/>
      <c r="F10" s="1321"/>
      <c r="G10" s="1321"/>
      <c r="H10" s="1321"/>
      <c r="I10" s="1158"/>
      <c r="J10" s="774"/>
      <c r="K10" s="774"/>
      <c r="L10" s="775"/>
      <c r="M10" s="722"/>
      <c r="N10" s="722"/>
      <c r="O10" s="722"/>
      <c r="P10" s="129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1"/>
      <c r="F11" s="1321"/>
      <c r="G11" s="1321"/>
      <c r="H11" s="132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1"/>
      <c r="F12" s="1321"/>
      <c r="G12" s="1320"/>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1"/>
      <c r="F13" s="1320"/>
      <c r="G13" s="774"/>
      <c r="H13" s="774"/>
      <c r="I13" s="774"/>
      <c r="J13" s="774"/>
      <c r="K13" s="774"/>
      <c r="L13" s="775"/>
      <c r="M13" s="777"/>
      <c r="N13" s="777"/>
      <c r="O13" s="203"/>
      <c r="P13" s="104"/>
      <c r="Q13" s="755"/>
      <c r="R13" s="104"/>
      <c r="S13" s="760"/>
      <c r="T13" s="762" t="s">
        <v>275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0"/>
      <c r="F14" s="774"/>
      <c r="G14" s="774"/>
      <c r="H14" s="774"/>
      <c r="I14" s="774"/>
      <c r="J14" s="774"/>
      <c r="K14" s="774"/>
      <c r="L14" s="775"/>
      <c r="M14" s="777"/>
      <c r="N14" s="777"/>
      <c r="O14" s="203"/>
      <c r="P14" s="104"/>
      <c r="Q14" s="755"/>
      <c r="R14" s="104"/>
      <c r="S14" s="760"/>
      <c r="T14" s="762" t="s">
        <v>276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67</v>
      </c>
      <c r="AH16" s="945"/>
      <c r="AI16" s="816" t="s">
        <v>67</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7" customHeight="1">
      <c r="Q23" s="168"/>
      <c r="R23" s="28"/>
      <c r="S23" s="739"/>
      <c r="T23" s="10"/>
      <c r="U23" s="10"/>
      <c r="AQ23" s="11">
        <v>14</v>
      </c>
    </row>
    <row r="24" spans="1:43" ht="39.75" customHeight="1">
      <c r="Q24" s="168"/>
      <c r="R24" s="28"/>
      <c r="S24" s="127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5"/>
      <c r="U24" s="1275"/>
      <c r="V24" s="1275"/>
      <c r="W24" s="1275"/>
      <c r="X24" s="1275"/>
      <c r="Y24" s="1275"/>
      <c r="Z24" s="1275"/>
      <c r="AA24" s="1275"/>
      <c r="AB24" s="1275"/>
      <c r="AC24" s="1275"/>
      <c r="AD24" s="1275"/>
      <c r="AE24" s="1275"/>
      <c r="AF24" s="1275"/>
      <c r="AG24" s="1275"/>
      <c r="AH24" s="1275"/>
      <c r="AI24" s="59"/>
      <c r="AQ24" s="11">
        <v>38</v>
      </c>
    </row>
    <row r="25" spans="1:43" ht="14.7" customHeight="1">
      <c r="Q25" s="16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1"/>
      <c r="AB27" s="11"/>
      <c r="AC27" s="1287"/>
      <c r="AD27" s="1287"/>
      <c r="AE27" s="1287"/>
      <c r="AF27" s="1287"/>
      <c r="AG27" s="1287"/>
      <c r="AH27" s="128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5" t="s">
        <v>425</v>
      </c>
      <c r="T28" s="1285"/>
      <c r="U28" s="773"/>
      <c r="V28" s="1286">
        <f>IF(TITLE_DATE_PR_CHANGE="",IF(TITLE_DATE_PR="","",TITLE_DATE_PR),TITLE_DATE_PR_CHANGE)</f>
        <v>45999</v>
      </c>
      <c r="W28" s="1286"/>
      <c r="X28" s="1286"/>
      <c r="Y28" s="1286"/>
      <c r="Z28" s="1286"/>
      <c r="AA28" s="11"/>
      <c r="AB28" s="11"/>
      <c r="AC28" s="1286"/>
      <c r="AD28" s="1286"/>
      <c r="AE28" s="1286"/>
      <c r="AF28" s="1286"/>
      <c r="AG28" s="1286"/>
      <c r="AH28" s="128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5" t="s">
        <v>426</v>
      </c>
      <c r="T29" s="1285"/>
      <c r="U29" s="773"/>
      <c r="V29" s="1287" t="str">
        <f>IF(TITLE_NUMBER_PR_CHANGE="",IF(TITLE_NUMBER_PR="","",TITLE_NUMBER_PR),TITLE_NUMBER_PR_CHANGE)</f>
        <v>94-нп</v>
      </c>
      <c r="W29" s="1287"/>
      <c r="X29" s="1287"/>
      <c r="Y29" s="1287"/>
      <c r="Z29" s="1287"/>
      <c r="AA29" s="11"/>
      <c r="AB29" s="11"/>
      <c r="AC29" s="1287"/>
      <c r="AD29" s="1287"/>
      <c r="AE29" s="1287"/>
      <c r="AF29" s="1287"/>
      <c r="AG29" s="1287"/>
      <c r="AH29" s="128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1"/>
      <c r="AB30" s="11"/>
      <c r="AC30" s="1287"/>
      <c r="AD30" s="1287"/>
      <c r="AE30" s="1287"/>
      <c r="AF30" s="1287"/>
      <c r="AG30" s="1287"/>
      <c r="AH30" s="128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5" t="s">
        <v>425</v>
      </c>
      <c r="T32" s="1285"/>
      <c r="U32" s="773"/>
      <c r="V32" s="1286">
        <f>IF(TITLE_DATE_PR_CHANGE="",IF(TITLE_DATE_PR="","",TITLE_DATE_PR),TITLE_DATE_PR_CHANGE)</f>
        <v>45999</v>
      </c>
      <c r="W32" s="1286"/>
      <c r="X32" s="1286"/>
      <c r="Y32" s="1286"/>
      <c r="Z32" s="1286"/>
      <c r="AA32" s="11"/>
      <c r="AB32" s="11"/>
      <c r="AC32" s="1286"/>
      <c r="AD32" s="1286"/>
      <c r="AE32" s="1286"/>
      <c r="AF32" s="1286"/>
      <c r="AG32" s="1286"/>
      <c r="AH32" s="128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5" t="s">
        <v>426</v>
      </c>
      <c r="T33" s="1285"/>
      <c r="U33" s="773"/>
      <c r="V33" s="1287" t="str">
        <f>IF(TITLE_NUMBER_PR_CHANGE="",IF(TITLE_NUMBER_PR="","",TITLE_NUMBER_PR),TITLE_NUMBER_PR_CHANGE)</f>
        <v>94-нп</v>
      </c>
      <c r="W33" s="1287"/>
      <c r="X33" s="1287"/>
      <c r="Y33" s="1287"/>
      <c r="Z33" s="1287"/>
      <c r="AA33" s="11"/>
      <c r="AB33" s="11"/>
      <c r="AC33" s="1287"/>
      <c r="AD33" s="1287"/>
      <c r="AE33" s="1287"/>
      <c r="AF33" s="1287"/>
      <c r="AG33" s="1287"/>
      <c r="AH33" s="1287"/>
      <c r="AI33" s="11"/>
      <c r="AJ33" s="11"/>
      <c r="AK33" s="163"/>
      <c r="AL33" s="69"/>
      <c r="AM33" s="69"/>
      <c r="AN33" s="69"/>
      <c r="AO33" s="69"/>
      <c r="AP33" s="69"/>
      <c r="AQ33" s="35">
        <v>0</v>
      </c>
    </row>
    <row r="34" spans="1:43" s="35" customFormat="1" ht="1.05"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7" customHeight="1">
      <c r="Q35" s="168"/>
      <c r="R35" s="28"/>
      <c r="S35" s="739"/>
      <c r="T35" s="10"/>
      <c r="U35" s="720"/>
      <c r="V35" s="1306"/>
      <c r="W35" s="1306"/>
      <c r="X35" s="1306"/>
      <c r="Y35" s="1306"/>
      <c r="Z35" s="1306"/>
      <c r="AA35" s="1306"/>
      <c r="AB35" s="1042"/>
      <c r="AC35" s="1306"/>
      <c r="AD35" s="1306"/>
      <c r="AE35" s="1306"/>
      <c r="AF35" s="1306"/>
      <c r="AG35" s="1306"/>
      <c r="AH35" s="1306"/>
      <c r="AI35" s="1306"/>
      <c r="AQ35" s="11">
        <v>14</v>
      </c>
    </row>
    <row r="36" spans="1:43" ht="14.7" customHeight="1">
      <c r="Q36" s="168"/>
      <c r="R36" s="28"/>
      <c r="S36" s="1158" t="s">
        <v>304</v>
      </c>
      <c r="T36" s="1158"/>
      <c r="U36" s="1158"/>
      <c r="V36" s="1158"/>
      <c r="W36" s="1158"/>
      <c r="X36" s="1158"/>
      <c r="Y36" s="1158"/>
      <c r="Z36" s="1158"/>
      <c r="AA36" s="1227"/>
      <c r="AB36" s="1227"/>
      <c r="AC36" s="1227"/>
      <c r="AD36" s="1158"/>
      <c r="AE36" s="1158"/>
      <c r="AF36" s="1158"/>
      <c r="AG36" s="1158"/>
      <c r="AH36" s="1158"/>
      <c r="AI36" s="1158"/>
      <c r="AJ36" s="1158"/>
      <c r="AK36" s="1158" t="s">
        <v>305</v>
      </c>
      <c r="AQ36" s="11">
        <v>14</v>
      </c>
    </row>
    <row r="37" spans="1:43" ht="14.7" customHeight="1">
      <c r="Q37" s="168"/>
      <c r="R37" s="28"/>
      <c r="S37" s="1307" t="s">
        <v>89</v>
      </c>
      <c r="T37" s="1255" t="s">
        <v>500</v>
      </c>
      <c r="U37" s="172"/>
      <c r="V37" s="1309"/>
      <c r="W37" s="1309"/>
      <c r="X37" s="1309"/>
      <c r="Y37" s="1309"/>
      <c r="Z37" s="1309"/>
      <c r="AA37" s="1255" t="s">
        <v>432</v>
      </c>
      <c r="AB37" s="1254" t="s">
        <v>501</v>
      </c>
      <c r="AC37" s="1254" t="s">
        <v>475</v>
      </c>
      <c r="AD37" s="1324" t="s">
        <v>431</v>
      </c>
      <c r="AE37" s="1324"/>
      <c r="AF37" s="1309"/>
      <c r="AG37" s="1309"/>
      <c r="AH37" s="1310"/>
      <c r="AI37" s="1311" t="s">
        <v>432</v>
      </c>
      <c r="AJ37" s="1314" t="s">
        <v>434</v>
      </c>
      <c r="AK37" s="1158"/>
      <c r="AQ37" s="11">
        <v>14</v>
      </c>
    </row>
    <row r="38" spans="1:43" ht="35.700000000000003" customHeight="1">
      <c r="Q38" s="168"/>
      <c r="R38" s="28"/>
      <c r="S38" s="1307"/>
      <c r="T38" s="1255"/>
      <c r="U38" s="607"/>
      <c r="V38" s="1139" t="s">
        <v>478</v>
      </c>
      <c r="W38" s="1158"/>
      <c r="X38" s="1228" t="s">
        <v>438</v>
      </c>
      <c r="Y38" s="1336"/>
      <c r="Z38" s="1336"/>
      <c r="AA38" s="1255"/>
      <c r="AB38" s="1254"/>
      <c r="AC38" s="1254"/>
      <c r="AD38" s="1139" t="s">
        <v>478</v>
      </c>
      <c r="AE38" s="1158"/>
      <c r="AF38" s="1336" t="s">
        <v>438</v>
      </c>
      <c r="AG38" s="1336"/>
      <c r="AH38" s="1229"/>
      <c r="AI38" s="1312"/>
      <c r="AJ38" s="1315"/>
      <c r="AK38" s="1158"/>
      <c r="AQ38" s="11">
        <v>34</v>
      </c>
    </row>
    <row r="39" spans="1:43" ht="14.7" customHeight="1">
      <c r="Q39" s="168"/>
      <c r="R39" s="28"/>
      <c r="S39" s="1307"/>
      <c r="T39" s="1255"/>
      <c r="U39" s="607"/>
      <c r="V39" s="1360" t="str">
        <f>IF($AD$39&lt;&gt;"",$AD$39,"")</f>
        <v/>
      </c>
      <c r="W39" s="1360"/>
      <c r="X39" s="1233"/>
      <c r="Y39" s="1337"/>
      <c r="Z39" s="1337"/>
      <c r="AA39" s="1255"/>
      <c r="AB39" s="1254"/>
      <c r="AC39" s="1254"/>
      <c r="AD39" s="1369"/>
      <c r="AE39" s="1359"/>
      <c r="AF39" s="1337"/>
      <c r="AG39" s="1337"/>
      <c r="AH39" s="1234"/>
      <c r="AI39" s="1312"/>
      <c r="AJ39" s="1315"/>
      <c r="AK39" s="1158"/>
      <c r="AQ39" s="11">
        <v>14</v>
      </c>
    </row>
    <row r="40" spans="1:43" ht="14.7"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307"/>
      <c r="T40" s="1255"/>
      <c r="U40" s="173"/>
      <c r="V40" s="36" t="s">
        <v>479</v>
      </c>
      <c r="W40" s="36" t="s">
        <v>480</v>
      </c>
      <c r="X40" s="39" t="s">
        <v>448</v>
      </c>
      <c r="Y40" s="1260" t="s">
        <v>449</v>
      </c>
      <c r="Z40" s="1273"/>
      <c r="AA40" s="1255"/>
      <c r="AB40" s="1254"/>
      <c r="AC40" s="1254"/>
      <c r="AD40" s="1048" t="s">
        <v>479</v>
      </c>
      <c r="AE40" s="1005" t="s">
        <v>480</v>
      </c>
      <c r="AF40" s="39" t="s">
        <v>448</v>
      </c>
      <c r="AG40" s="1260" t="s">
        <v>449</v>
      </c>
      <c r="AH40" s="1274"/>
      <c r="AI40" s="1313"/>
      <c r="AJ40" s="1316"/>
      <c r="AK40" s="1158"/>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305">
        <f ca="1">OFFSET(Y41,0,-1)+1</f>
        <v>6</v>
      </c>
      <c r="Z41" s="1305"/>
      <c r="AA41" s="286">
        <f ca="1">OFFSET(AA41,0,-2)+1</f>
        <v>7</v>
      </c>
      <c r="AB41" s="286"/>
      <c r="AC41" s="286"/>
      <c r="AD41" s="727">
        <f ca="1">OFFSET(AD41,0,-1)+1</f>
        <v>1</v>
      </c>
      <c r="AE41" s="727">
        <f ca="1">OFFSET(AE41,0,-1)+1</f>
        <v>2</v>
      </c>
      <c r="AF41" s="727">
        <f ca="1">OFFSET(AF41,0,-1)+1</f>
        <v>3</v>
      </c>
      <c r="AG41" s="1305">
        <f ca="1">OFFSET(AG41,0,-1)+1</f>
        <v>4</v>
      </c>
      <c r="AH41" s="1305"/>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20">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89"/>
      <c r="W42" s="1289"/>
      <c r="X42" s="1289"/>
      <c r="Y42" s="1289"/>
      <c r="Z42" s="1289"/>
      <c r="AA42" s="1290"/>
      <c r="AB42" s="1041"/>
      <c r="AC42" s="1289" t="str">
        <f>INDEX(PT_DIFFERENTIATION_NTAR,MATCH(A42,PT_DIFFERENTIATION_NTAR_ID,0))</f>
        <v/>
      </c>
      <c r="AD42" s="1289"/>
      <c r="AE42" s="1289"/>
      <c r="AF42" s="1289"/>
      <c r="AG42" s="1289"/>
      <c r="AH42" s="1289"/>
      <c r="AI42" s="1289"/>
      <c r="AJ42" s="129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2.05" customHeight="1">
      <c r="A43" s="731" t="s">
        <v>205</v>
      </c>
      <c r="B43" s="731" t="s">
        <v>206</v>
      </c>
      <c r="C43" s="731"/>
      <c r="D43" s="731"/>
      <c r="E43" s="1321"/>
      <c r="F43" s="1320">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89"/>
      <c r="W43" s="1289"/>
      <c r="X43" s="1289"/>
      <c r="Y43" s="1289"/>
      <c r="Z43" s="1289"/>
      <c r="AA43" s="1290"/>
      <c r="AB43" s="1041"/>
      <c r="AC43" s="1289" t="str">
        <f>INDEX(PT_DIFFERENTIATION_TER,MATCH(B43,PT_DIFFERENTIATION_TER_ID,0))</f>
        <v/>
      </c>
      <c r="AD43" s="1289"/>
      <c r="AE43" s="1289"/>
      <c r="AF43" s="1289"/>
      <c r="AG43" s="1289"/>
      <c r="AH43" s="1289"/>
      <c r="AI43" s="1289"/>
      <c r="AJ43" s="1290"/>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21"/>
      <c r="F44" s="1321"/>
      <c r="G44" s="1320">
        <v>1</v>
      </c>
      <c r="H44" s="731"/>
      <c r="I44" s="731"/>
      <c r="J44" s="731"/>
      <c r="K44" s="731"/>
      <c r="L44" s="754"/>
      <c r="M44" s="342"/>
      <c r="N44" s="342"/>
      <c r="O44" s="342"/>
      <c r="P44" s="131"/>
      <c r="Q44" s="802"/>
      <c r="R44" s="205"/>
      <c r="S44" s="709" t="str">
        <f>INDEX(PT_DIFFERENTIATION_NUM_CS,MATCH(C44,PT_DIFFERENTIATION_CS_ID,0))</f>
        <v>..</v>
      </c>
      <c r="T44" s="178" t="s">
        <v>403</v>
      </c>
      <c r="U44" s="171"/>
      <c r="V44" s="1289"/>
      <c r="W44" s="1289"/>
      <c r="X44" s="1289"/>
      <c r="Y44" s="1289"/>
      <c r="Z44" s="1289"/>
      <c r="AA44" s="1290"/>
      <c r="AB44" s="1041"/>
      <c r="AC44" s="1289" t="str">
        <f>INDEX(PT_DIFFERENTIATION_CS,MATCH(C44,PT_DIFFERENTIATION_CS_ID,0))</f>
        <v/>
      </c>
      <c r="AD44" s="1289"/>
      <c r="AE44" s="1289"/>
      <c r="AF44" s="1289"/>
      <c r="AG44" s="1289"/>
      <c r="AH44" s="1289"/>
      <c r="AI44" s="1289"/>
      <c r="AJ44" s="1290"/>
      <c r="AK44" s="729" t="s">
        <v>404</v>
      </c>
      <c r="AM44" s="69"/>
      <c r="AN44" s="69" t="str">
        <f t="shared" si="1"/>
        <v xml:space="preserve">Наименование системы теплоснабжения </v>
      </c>
      <c r="AO44" s="69"/>
      <c r="AP44" s="69"/>
      <c r="AQ44" s="11">
        <v>23</v>
      </c>
    </row>
    <row r="45" spans="1:43" ht="22.05" customHeight="1">
      <c r="A45" s="731" t="s">
        <v>205</v>
      </c>
      <c r="B45" s="731" t="s">
        <v>206</v>
      </c>
      <c r="C45" s="731" t="s">
        <v>207</v>
      </c>
      <c r="D45" s="731" t="s">
        <v>208</v>
      </c>
      <c r="E45" s="1321"/>
      <c r="F45" s="1321"/>
      <c r="G45" s="1321"/>
      <c r="H45" s="1320">
        <v>1</v>
      </c>
      <c r="I45" s="731"/>
      <c r="J45" s="731"/>
      <c r="K45" s="731"/>
      <c r="L45" s="754"/>
      <c r="M45" s="342"/>
      <c r="N45" s="342"/>
      <c r="O45" s="342"/>
      <c r="P45" s="131"/>
      <c r="Q45" s="802"/>
      <c r="R45" s="205"/>
      <c r="S45" s="709" t="str">
        <f>INDEX(PT_DIFFERENTIATION_NUM_IST_TE,MATCH(D45,PT_DIFFERENTIATION_IST_TE_ID,0))</f>
        <v>...</v>
      </c>
      <c r="T45" s="179" t="s">
        <v>405</v>
      </c>
      <c r="U45" s="171"/>
      <c r="V45" s="1289"/>
      <c r="W45" s="1289"/>
      <c r="X45" s="1289"/>
      <c r="Y45" s="1289"/>
      <c r="Z45" s="1289"/>
      <c r="AA45" s="1290"/>
      <c r="AB45" s="1041"/>
      <c r="AC45" s="1289" t="str">
        <f>INDEX(PT_DIFFERENTIATION_IST_TE,MATCH(D45,PT_DIFFERENTIATION_IST_TE_ID,0))</f>
        <v/>
      </c>
      <c r="AD45" s="1289"/>
      <c r="AE45" s="1289"/>
      <c r="AF45" s="1289"/>
      <c r="AG45" s="1289"/>
      <c r="AH45" s="1289"/>
      <c r="AI45" s="1289"/>
      <c r="AJ45" s="1290"/>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21"/>
      <c r="F46" s="1321"/>
      <c r="G46" s="1321"/>
      <c r="H46" s="1321"/>
      <c r="I46" s="1158" t="str">
        <f>S45&amp;".1"</f>
        <v>....1</v>
      </c>
      <c r="J46" s="774"/>
      <c r="K46" s="774"/>
      <c r="L46" s="775" t="s">
        <v>407</v>
      </c>
      <c r="M46" s="722"/>
      <c r="N46" s="722"/>
      <c r="O46" s="722"/>
      <c r="P46" s="1298">
        <v>1</v>
      </c>
      <c r="Q46" s="122"/>
      <c r="R46" s="208"/>
      <c r="S46" s="362"/>
      <c r="T46" s="779"/>
      <c r="U46" s="780"/>
      <c r="V46" s="1326"/>
      <c r="W46" s="1326"/>
      <c r="X46" s="1326"/>
      <c r="Y46" s="1326"/>
      <c r="Z46" s="1326"/>
      <c r="AA46" s="1327"/>
      <c r="AB46" s="1043"/>
      <c r="AC46" s="1326"/>
      <c r="AD46" s="1326"/>
      <c r="AE46" s="1326"/>
      <c r="AF46" s="1326"/>
      <c r="AG46" s="1326"/>
      <c r="AH46" s="1326"/>
      <c r="AI46" s="1326"/>
      <c r="AJ46" s="1327"/>
      <c r="AK46" s="781"/>
      <c r="AM46" s="69"/>
      <c r="AN46" s="69" t="str">
        <f t="shared" si="1"/>
        <v/>
      </c>
      <c r="AO46" s="69"/>
      <c r="AP46" s="69"/>
      <c r="AQ46" s="68">
        <v>0</v>
      </c>
    </row>
    <row r="47" spans="1:43" s="68" customFormat="1" ht="0" hidden="1" customHeight="1">
      <c r="A47" s="774" t="s">
        <v>205</v>
      </c>
      <c r="B47" s="774" t="s">
        <v>206</v>
      </c>
      <c r="C47" s="774" t="s">
        <v>207</v>
      </c>
      <c r="D47" s="774" t="s">
        <v>208</v>
      </c>
      <c r="E47" s="1321"/>
      <c r="F47" s="1321"/>
      <c r="G47" s="1321"/>
      <c r="H47" s="1321"/>
      <c r="I47" s="1140"/>
      <c r="J47" s="1158" t="str">
        <f>S45&amp;".1"</f>
        <v>....1</v>
      </c>
      <c r="K47" s="774"/>
      <c r="L47" s="775"/>
      <c r="M47" s="722"/>
      <c r="N47" s="722"/>
      <c r="O47" s="722"/>
      <c r="P47" s="1298"/>
      <c r="Q47" s="1298">
        <v>1</v>
      </c>
      <c r="R47" s="209"/>
      <c r="S47" s="362"/>
      <c r="T47" s="794"/>
      <c r="U47" s="780"/>
      <c r="V47" s="1326"/>
      <c r="W47" s="1326"/>
      <c r="X47" s="1326"/>
      <c r="Y47" s="1326"/>
      <c r="Z47" s="1326"/>
      <c r="AA47" s="1327"/>
      <c r="AB47" s="1043"/>
      <c r="AC47" s="1326"/>
      <c r="AD47" s="1326"/>
      <c r="AE47" s="1326"/>
      <c r="AF47" s="1326"/>
      <c r="AG47" s="1326"/>
      <c r="AH47" s="1326"/>
      <c r="AI47" s="1326"/>
      <c r="AJ47" s="1327"/>
      <c r="AK47" s="781"/>
      <c r="AM47" s="69"/>
      <c r="AN47" s="69" t="str">
        <f t="shared" si="1"/>
        <v/>
      </c>
      <c r="AO47" s="69"/>
      <c r="AP47" s="69"/>
      <c r="AQ47" s="68">
        <v>0</v>
      </c>
    </row>
    <row r="48" spans="1:43" ht="22.05" customHeight="1">
      <c r="A48" s="731" t="s">
        <v>205</v>
      </c>
      <c r="B48" s="731" t="s">
        <v>206</v>
      </c>
      <c r="C48" s="731" t="s">
        <v>207</v>
      </c>
      <c r="D48" s="731" t="s">
        <v>208</v>
      </c>
      <c r="E48" s="1321"/>
      <c r="F48" s="1321"/>
      <c r="G48" s="1321"/>
      <c r="H48" s="1321"/>
      <c r="I48" s="1140"/>
      <c r="J48" s="1140"/>
      <c r="K48" s="41" t="str">
        <f>S45&amp;".1"</f>
        <v>....1</v>
      </c>
      <c r="L48" s="754"/>
      <c r="P48" s="1298"/>
      <c r="Q48" s="1298"/>
      <c r="R48" s="209">
        <v>1</v>
      </c>
      <c r="S48" s="1045" t="str">
        <f>$K48</f>
        <v>....1</v>
      </c>
      <c r="T48" s="1044"/>
      <c r="U48" s="171"/>
      <c r="V48" s="306"/>
      <c r="W48" s="728"/>
      <c r="X48" s="943"/>
      <c r="Y48" s="297" t="s">
        <v>67</v>
      </c>
      <c r="Z48" s="943"/>
      <c r="AA48" s="297" t="s">
        <v>67</v>
      </c>
      <c r="AB48" s="1047"/>
      <c r="AC48" s="1046" t="s">
        <v>28</v>
      </c>
      <c r="AD48" s="306"/>
      <c r="AE48" s="728"/>
      <c r="AF48" s="943"/>
      <c r="AG48" s="297" t="s">
        <v>67</v>
      </c>
      <c r="AH48" s="943"/>
      <c r="AI48" s="297" t="s">
        <v>67</v>
      </c>
      <c r="AJ48" s="766"/>
      <c r="AK48" s="1317" t="s">
        <v>481</v>
      </c>
      <c r="AL48" s="68" t="e">
        <f ca="1">STRCHECKDATE(#REF!)</f>
        <v>#NAME?</v>
      </c>
      <c r="AM48" s="69"/>
      <c r="AN48" s="69" t="str">
        <f t="shared" si="1"/>
        <v/>
      </c>
      <c r="AO48" s="69"/>
      <c r="AP48" s="69"/>
      <c r="AQ48" s="11">
        <v>21</v>
      </c>
    </row>
    <row r="49" spans="1:43" ht="11.55" customHeight="1">
      <c r="A49" s="731" t="s">
        <v>205</v>
      </c>
      <c r="B49" s="731" t="s">
        <v>206</v>
      </c>
      <c r="C49" s="731" t="s">
        <v>207</v>
      </c>
      <c r="D49" s="731" t="s">
        <v>208</v>
      </c>
      <c r="E49" s="1321"/>
      <c r="F49" s="1321"/>
      <c r="G49" s="1321"/>
      <c r="H49" s="1321"/>
      <c r="I49" s="1140"/>
      <c r="J49" s="1158"/>
      <c r="K49" s="731"/>
      <c r="L49" s="754"/>
      <c r="P49" s="1298"/>
      <c r="Q49" s="1298"/>
      <c r="R49" s="208"/>
      <c r="S49" s="742"/>
      <c r="T49" s="166" t="s">
        <v>469</v>
      </c>
      <c r="U49" s="213"/>
      <c r="V49" s="213"/>
      <c r="W49" s="213"/>
      <c r="X49" s="213"/>
      <c r="Y49" s="213"/>
      <c r="Z49" s="213"/>
      <c r="AA49" s="190"/>
      <c r="AB49" s="213"/>
      <c r="AC49" s="213"/>
      <c r="AD49" s="213"/>
      <c r="AE49" s="213"/>
      <c r="AF49" s="213"/>
      <c r="AG49" s="213"/>
      <c r="AH49" s="213"/>
      <c r="AI49" s="213"/>
      <c r="AJ49" s="190"/>
      <c r="AK49" s="1319"/>
      <c r="AM49" s="69"/>
      <c r="AN49" s="69" t="str">
        <f t="shared" si="1"/>
        <v>Добавить строку</v>
      </c>
      <c r="AO49" s="69"/>
      <c r="AP49" s="69"/>
      <c r="AQ49" s="11">
        <v>11</v>
      </c>
    </row>
    <row r="50" spans="1:43" s="68" customFormat="1" ht="1.05" customHeight="1">
      <c r="A50" s="774" t="s">
        <v>205</v>
      </c>
      <c r="B50" s="774" t="s">
        <v>206</v>
      </c>
      <c r="C50" s="774" t="s">
        <v>207</v>
      </c>
      <c r="D50" s="774" t="s">
        <v>208</v>
      </c>
      <c r="E50" s="1321"/>
      <c r="F50" s="1321"/>
      <c r="G50" s="1321"/>
      <c r="H50" s="1321"/>
      <c r="I50" s="1158"/>
      <c r="J50" s="774"/>
      <c r="K50" s="774"/>
      <c r="L50" s="775"/>
      <c r="M50" s="722"/>
      <c r="N50" s="722"/>
      <c r="O50" s="722"/>
      <c r="P50" s="1298"/>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05" customHeight="1">
      <c r="A51" s="774" t="s">
        <v>205</v>
      </c>
      <c r="B51" s="774" t="s">
        <v>206</v>
      </c>
      <c r="C51" s="774" t="s">
        <v>207</v>
      </c>
      <c r="D51" s="774" t="s">
        <v>208</v>
      </c>
      <c r="E51" s="1321"/>
      <c r="F51" s="1321"/>
      <c r="G51" s="1321"/>
      <c r="H51" s="132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05" customHeight="1">
      <c r="A52" s="774" t="s">
        <v>205</v>
      </c>
      <c r="B52" s="774" t="s">
        <v>206</v>
      </c>
      <c r="C52" s="774" t="s">
        <v>207</v>
      </c>
      <c r="D52" s="774"/>
      <c r="E52" s="1321"/>
      <c r="F52" s="1321"/>
      <c r="G52" s="1320"/>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05" customHeight="1">
      <c r="A53" s="774" t="s">
        <v>205</v>
      </c>
      <c r="B53" s="774" t="s">
        <v>206</v>
      </c>
      <c r="C53" s="774"/>
      <c r="D53" s="774"/>
      <c r="E53" s="1321"/>
      <c r="F53" s="1320"/>
      <c r="G53" s="774"/>
      <c r="H53" s="774"/>
      <c r="I53" s="774"/>
      <c r="J53" s="774"/>
      <c r="K53" s="774"/>
      <c r="L53" s="775"/>
      <c r="M53" s="777"/>
      <c r="N53" s="777"/>
      <c r="O53" s="203"/>
      <c r="P53" s="104"/>
      <c r="Q53" s="755"/>
      <c r="R53" s="104"/>
      <c r="S53" s="760"/>
      <c r="T53" s="762" t="s">
        <v>275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05" customHeight="1">
      <c r="A54" s="774" t="s">
        <v>205</v>
      </c>
      <c r="B54" s="774"/>
      <c r="C54" s="774"/>
      <c r="D54" s="774"/>
      <c r="E54" s="1321"/>
      <c r="F54" s="774"/>
      <c r="G54" s="774"/>
      <c r="H54" s="774"/>
      <c r="I54" s="774"/>
      <c r="J54" s="774"/>
      <c r="K54" s="774"/>
      <c r="L54" s="775"/>
      <c r="M54" s="777"/>
      <c r="N54" s="777"/>
      <c r="O54" s="203"/>
      <c r="P54" s="104"/>
      <c r="Q54" s="755"/>
      <c r="R54" s="104"/>
      <c r="S54" s="760"/>
      <c r="T54" s="762" t="s">
        <v>276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05" customHeight="1">
      <c r="A55" s="774" t="s">
        <v>205</v>
      </c>
      <c r="B55" s="774"/>
      <c r="C55" s="774"/>
      <c r="D55" s="774"/>
      <c r="E55" s="1320"/>
      <c r="F55" s="774"/>
      <c r="G55" s="774"/>
      <c r="H55" s="774"/>
      <c r="I55" s="774"/>
      <c r="J55" s="774"/>
      <c r="K55" s="774"/>
      <c r="L55" s="775"/>
      <c r="M55" s="777"/>
      <c r="N55" s="777"/>
      <c r="O55" s="203"/>
      <c r="P55" s="104"/>
      <c r="Q55" s="755"/>
      <c r="R55" s="104"/>
      <c r="S55" s="760"/>
      <c r="T55" s="762" t="s">
        <v>276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05" customHeight="1">
      <c r="A56" s="774"/>
      <c r="B56" s="774"/>
      <c r="C56" s="774"/>
      <c r="D56" s="774"/>
      <c r="E56" s="774"/>
      <c r="F56" s="774"/>
      <c r="G56" s="774"/>
      <c r="H56" s="774"/>
      <c r="I56" s="774"/>
      <c r="J56" s="774"/>
      <c r="K56" s="774"/>
      <c r="L56" s="775"/>
      <c r="M56" s="777"/>
      <c r="N56" s="777"/>
      <c r="O56" s="203"/>
      <c r="P56" s="104"/>
      <c r="Q56" s="755"/>
      <c r="R56" s="104"/>
      <c r="S56" s="760"/>
      <c r="T56" s="762" t="s">
        <v>277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55" customHeight="1">
      <c r="M57" s="11"/>
      <c r="N57" s="11"/>
      <c r="O57" s="11"/>
      <c r="P57" s="63"/>
      <c r="Q57" s="63"/>
      <c r="R57" s="11"/>
      <c r="S57" s="11"/>
      <c r="AL57" s="11"/>
      <c r="AM57" s="11"/>
      <c r="AN57" s="11"/>
      <c r="AO57" s="11"/>
      <c r="AP57" s="11"/>
      <c r="AQ57" s="11">
        <v>11</v>
      </c>
    </row>
    <row r="58" spans="1:43" ht="19.95" customHeight="1">
      <c r="O58" s="11"/>
      <c r="S58" s="198"/>
      <c r="T58" s="1293"/>
      <c r="U58" s="1293"/>
      <c r="V58" s="1293"/>
      <c r="W58" s="1293"/>
      <c r="X58" s="1293"/>
      <c r="Y58" s="1293"/>
      <c r="Z58" s="1293"/>
      <c r="AA58" s="1293"/>
      <c r="AB58" s="1293"/>
      <c r="AC58" s="1293"/>
      <c r="AD58" s="1293"/>
      <c r="AE58" s="1293"/>
      <c r="AF58" s="1293"/>
      <c r="AG58" s="1293"/>
      <c r="AH58" s="1293"/>
      <c r="AI58" s="1293"/>
      <c r="AJ58" s="1293"/>
      <c r="AK58" s="1293"/>
      <c r="AQ58" s="11">
        <v>19</v>
      </c>
    </row>
    <row r="59" spans="1:43" ht="21" customHeight="1">
      <c r="O59" s="11"/>
      <c r="T59" s="1293"/>
      <c r="U59" s="1293"/>
      <c r="V59" s="1293"/>
      <c r="W59" s="1293"/>
      <c r="X59" s="1293"/>
      <c r="Y59" s="1293"/>
      <c r="Z59" s="1293"/>
      <c r="AA59" s="1293"/>
      <c r="AB59" s="1293"/>
      <c r="AC59" s="1293"/>
      <c r="AD59" s="1293"/>
      <c r="AE59" s="1293"/>
      <c r="AF59" s="1293"/>
      <c r="AG59" s="1293"/>
      <c r="AH59" s="1293"/>
      <c r="AI59" s="1293"/>
      <c r="AJ59" s="1293"/>
      <c r="AK59" s="1293"/>
      <c r="AQ59" s="11">
        <v>20</v>
      </c>
    </row>
    <row r="60" spans="1:43" ht="14.7"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95" customHeight="1">
      <c r="O61" s="11"/>
      <c r="T61" s="1293"/>
      <c r="U61" s="1293"/>
      <c r="V61" s="1293"/>
      <c r="W61" s="1293"/>
      <c r="X61" s="1293"/>
      <c r="Y61" s="1293"/>
      <c r="Z61" s="1293"/>
      <c r="AA61" s="1293"/>
      <c r="AB61" s="1293"/>
      <c r="AC61" s="1293"/>
      <c r="AD61" s="1293"/>
      <c r="AE61" s="1293"/>
      <c r="AF61" s="1293"/>
      <c r="AG61" s="1293"/>
      <c r="AH61" s="1293"/>
      <c r="AI61" s="1293"/>
      <c r="AJ61" s="1293"/>
      <c r="AK61" s="1293"/>
      <c r="AQ61" s="11">
        <v>19</v>
      </c>
    </row>
    <row r="62" spans="1:43" ht="16.8" customHeight="1">
      <c r="O62" s="11"/>
      <c r="T62" s="1293"/>
      <c r="U62" s="1293"/>
      <c r="V62" s="1293"/>
      <c r="W62" s="1293"/>
      <c r="X62" s="1293"/>
      <c r="Y62" s="1293"/>
      <c r="Z62" s="1293"/>
      <c r="AA62" s="1293"/>
      <c r="AB62" s="1293"/>
      <c r="AC62" s="1293"/>
      <c r="AD62" s="1293"/>
      <c r="AE62" s="1293"/>
      <c r="AF62" s="1293"/>
      <c r="AG62" s="1293"/>
      <c r="AH62" s="1293"/>
      <c r="AI62" s="1293"/>
      <c r="AJ62" s="1293"/>
      <c r="AK62" s="1293"/>
      <c r="AQ62" s="11">
        <v>16</v>
      </c>
    </row>
    <row r="63" spans="1:43" ht="14.7"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3" hidden="1" customWidth="1"/>
    <col min="2" max="2" width="11" style="63" hidden="1" customWidth="1"/>
    <col min="3" max="3" width="10.625" style="63" hidden="1"/>
    <col min="4" max="4" width="12.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506" hidden="1" customWidth="1"/>
    <col min="17" max="17" width="3.75" style="772" hidden="1" customWidth="1"/>
    <col min="18" max="18" width="3" style="29" customWidth="1"/>
    <col min="19" max="19" width="12" style="342" customWidth="1"/>
    <col min="20" max="20" width="31" style="11" customWidth="1"/>
    <col min="21" max="21" width="0.125" style="11" customWidth="1"/>
    <col min="22" max="25" width="21.75" style="11" hidden="1" customWidth="1"/>
    <col min="26" max="26" width="11.75" style="11" hidden="1" customWidth="1"/>
    <col min="27" max="27" width="3.75" style="11" hidden="1" customWidth="1"/>
    <col min="28" max="28" width="11.75" style="11" hidden="1" customWidth="1"/>
    <col min="29" max="29" width="8.625" style="11" hidden="1" customWidth="1"/>
    <col min="30" max="30" width="3.75" style="11" customWidth="1"/>
    <col min="31" max="32" width="3" style="11" customWidth="1"/>
    <col min="33" max="33" width="24" style="11" customWidth="1"/>
    <col min="34" max="34" width="3.75" style="11" customWidth="1"/>
    <col min="35" max="36" width="3" style="11" customWidth="1"/>
    <col min="37" max="37" width="24" style="11" customWidth="1"/>
    <col min="38" max="38" width="3.75" style="11" customWidth="1"/>
    <col min="39" max="40" width="3" style="11" customWidth="1"/>
    <col min="41" max="41" width="18" style="11" customWidth="1"/>
    <col min="42" max="42" width="3.75" style="11" customWidth="1"/>
    <col min="43" max="44" width="3" style="11" customWidth="1"/>
    <col min="45" max="45" width="18" style="11" customWidth="1"/>
    <col min="46" max="49" width="21" style="11" customWidth="1"/>
    <col min="50" max="50" width="11" style="11" customWidth="1"/>
    <col min="51" max="51" width="3.75" style="11" customWidth="1"/>
    <col min="52" max="52" width="11" style="11" customWidth="1"/>
    <col min="53" max="53" width="8.625" style="11" hidden="1" customWidth="1"/>
    <col min="54" max="54" width="4" style="11" customWidth="1"/>
    <col min="55" max="55" width="115" style="11" customWidth="1"/>
    <col min="56" max="60" width="10" style="68" customWidth="1"/>
    <col min="61" max="61" width="10.625" style="11" hidden="1"/>
  </cols>
  <sheetData>
    <row r="1" spans="1:61" ht="22.5" hidden="1" customHeight="1">
      <c r="BI1" s="11" t="s">
        <v>14</v>
      </c>
    </row>
    <row r="2" spans="1:61" ht="21" hidden="1" customHeight="1">
      <c r="A2" s="769"/>
      <c r="B2" s="769"/>
      <c r="C2" s="769"/>
      <c r="D2" s="769"/>
      <c r="E2" s="1294">
        <v>1</v>
      </c>
      <c r="F2" s="769"/>
      <c r="G2" s="769"/>
      <c r="H2" s="769"/>
      <c r="I2" s="769"/>
      <c r="J2" s="769"/>
      <c r="K2" s="769"/>
      <c r="L2" s="770"/>
      <c r="M2" s="426"/>
      <c r="N2" s="426"/>
      <c r="O2" s="426"/>
      <c r="Q2" s="62"/>
      <c r="R2" s="207"/>
      <c r="S2" s="709" t="e">
        <f>INDEX(PT_DIFFERENTIATION_NUM_NTAR,MATCH(A2,PT_DIFFERENTIATION_NTAR_ID,0))</f>
        <v>#N/A</v>
      </c>
      <c r="T2" s="67" t="s">
        <v>124</v>
      </c>
      <c r="U2" s="171"/>
      <c r="V2" s="1289"/>
      <c r="W2" s="1289"/>
      <c r="X2" s="1289"/>
      <c r="Y2" s="1289"/>
      <c r="Z2" s="1289"/>
      <c r="AA2" s="1289"/>
      <c r="AB2" s="1289"/>
      <c r="AC2" s="1290"/>
      <c r="AD2" s="1288" t="e">
        <f>INDEX(PT_DIFFERENTIATION_NTAR,MATCH(A2,PT_DIFFERENTIATION_NTAR_ID,0))</f>
        <v>#N/A</v>
      </c>
      <c r="AE2" s="1289"/>
      <c r="AF2" s="1289"/>
      <c r="AG2" s="1289"/>
      <c r="AH2" s="1289"/>
      <c r="AI2" s="1289"/>
      <c r="AJ2" s="1289"/>
      <c r="AK2" s="1289"/>
      <c r="AL2" s="1289"/>
      <c r="AM2" s="1289"/>
      <c r="AN2" s="1289"/>
      <c r="AO2" s="1289"/>
      <c r="AP2" s="1289"/>
      <c r="AQ2" s="1289"/>
      <c r="AR2" s="1289"/>
      <c r="AS2" s="1289"/>
      <c r="AT2" s="1289"/>
      <c r="AU2" s="1289"/>
      <c r="AV2" s="1289"/>
      <c r="AW2" s="1289"/>
      <c r="AX2" s="1289"/>
      <c r="AY2" s="1289"/>
      <c r="AZ2" s="1289"/>
      <c r="BA2" s="1289"/>
      <c r="BB2" s="129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5"/>
      <c r="F3" s="1294">
        <v>1</v>
      </c>
      <c r="G3" s="769"/>
      <c r="H3" s="769"/>
      <c r="I3" s="769"/>
      <c r="J3" s="769"/>
      <c r="K3" s="769"/>
      <c r="L3" s="770"/>
      <c r="M3" s="426"/>
      <c r="N3" s="426"/>
      <c r="O3" s="426"/>
      <c r="P3" s="301"/>
      <c r="Q3" s="802"/>
      <c r="R3" s="205"/>
      <c r="S3" s="709" t="e">
        <f>INDEX(PT_DIFFERENTIATION_NUM_TER,MATCH(B3,PT_DIFFERENTIATION_TER_ID,0))</f>
        <v>#N/A</v>
      </c>
      <c r="T3" s="177" t="s">
        <v>401</v>
      </c>
      <c r="U3" s="171"/>
      <c r="V3" s="1289"/>
      <c r="W3" s="1289"/>
      <c r="X3" s="1289"/>
      <c r="Y3" s="1289"/>
      <c r="Z3" s="1289"/>
      <c r="AA3" s="1289"/>
      <c r="AB3" s="1289"/>
      <c r="AC3" s="1290"/>
      <c r="AD3" s="1288" t="e">
        <f>INDEX(PT_DIFFERENTIATION_TER,MATCH(B3,PT_DIFFERENTIATION_TER_ID,0))</f>
        <v>#N/A</v>
      </c>
      <c r="AE3" s="1289"/>
      <c r="AF3" s="1289"/>
      <c r="AG3" s="1289"/>
      <c r="AH3" s="1289"/>
      <c r="AI3" s="1289"/>
      <c r="AJ3" s="1289"/>
      <c r="AK3" s="1289"/>
      <c r="AL3" s="1289"/>
      <c r="AM3" s="1289"/>
      <c r="AN3" s="1289"/>
      <c r="AO3" s="1289"/>
      <c r="AP3" s="1289"/>
      <c r="AQ3" s="1289"/>
      <c r="AR3" s="1289"/>
      <c r="AS3" s="1289"/>
      <c r="AT3" s="1289"/>
      <c r="AU3" s="1289"/>
      <c r="AV3" s="1289"/>
      <c r="AW3" s="1289"/>
      <c r="AX3" s="1289"/>
      <c r="AY3" s="1289"/>
      <c r="AZ3" s="1289"/>
      <c r="BA3" s="1289"/>
      <c r="BB3" s="1290"/>
      <c r="BC3" s="729" t="s">
        <v>402</v>
      </c>
      <c r="BE3" s="69"/>
      <c r="BF3" s="69" t="str">
        <f t="shared" si="0"/>
        <v>Территория действия тарифа</v>
      </c>
      <c r="BG3" s="69"/>
      <c r="BH3" s="69"/>
      <c r="BI3" s="11">
        <v>0</v>
      </c>
    </row>
    <row r="4" spans="1:61" ht="42" hidden="1" customHeight="1">
      <c r="A4" s="769"/>
      <c r="B4" s="769"/>
      <c r="C4" s="769"/>
      <c r="D4" s="769"/>
      <c r="E4" s="1295"/>
      <c r="F4" s="1295"/>
      <c r="G4" s="1294">
        <v>1</v>
      </c>
      <c r="H4" s="769"/>
      <c r="I4" s="769"/>
      <c r="J4" s="769"/>
      <c r="K4" s="769"/>
      <c r="L4" s="770"/>
      <c r="M4" s="426"/>
      <c r="N4" s="426"/>
      <c r="O4" s="426"/>
      <c r="P4" s="131"/>
      <c r="Q4" s="802"/>
      <c r="R4" s="205"/>
      <c r="S4" s="709" t="e">
        <f>INDEX(PT_DIFFERENTIATION_NUM_CS,MATCH(C4,PT_DIFFERENTIATION_CS_ID,0))</f>
        <v>#N/A</v>
      </c>
      <c r="T4" s="178" t="s">
        <v>482</v>
      </c>
      <c r="U4" s="171"/>
      <c r="V4" s="1289"/>
      <c r="W4" s="1289"/>
      <c r="X4" s="1289"/>
      <c r="Y4" s="1289"/>
      <c r="Z4" s="1289"/>
      <c r="AA4" s="1289"/>
      <c r="AB4" s="1289"/>
      <c r="AC4" s="1290"/>
      <c r="AD4" s="1288" t="e">
        <f>INDEX(PT_DIFFERENTIATION_CS,MATCH(C4,PT_DIFFERENTIATION_CS_ID,0))</f>
        <v>#N/A</v>
      </c>
      <c r="AE4" s="1289"/>
      <c r="AF4" s="1289"/>
      <c r="AG4" s="1289"/>
      <c r="AH4" s="1289"/>
      <c r="AI4" s="1289"/>
      <c r="AJ4" s="1289"/>
      <c r="AK4" s="1289"/>
      <c r="AL4" s="1289"/>
      <c r="AM4" s="1289"/>
      <c r="AN4" s="1289"/>
      <c r="AO4" s="1289"/>
      <c r="AP4" s="1289"/>
      <c r="AQ4" s="1289"/>
      <c r="AR4" s="1289"/>
      <c r="AS4" s="1289"/>
      <c r="AT4" s="1289"/>
      <c r="AU4" s="1289"/>
      <c r="AV4" s="1289"/>
      <c r="AW4" s="1289"/>
      <c r="AX4" s="1289"/>
      <c r="AY4" s="1289"/>
      <c r="AZ4" s="1289"/>
      <c r="BA4" s="1289"/>
      <c r="BB4" s="1290"/>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5"/>
      <c r="F5" s="1295"/>
      <c r="G5" s="1295"/>
      <c r="H5" s="1294">
        <v>1</v>
      </c>
      <c r="I5" s="145"/>
      <c r="J5" s="145"/>
      <c r="K5" s="145"/>
      <c r="L5" s="346"/>
      <c r="M5" s="293"/>
      <c r="N5" s="293"/>
      <c r="O5" s="293"/>
      <c r="P5" s="820"/>
      <c r="Q5" s="821"/>
      <c r="R5" s="209"/>
      <c r="S5" s="362"/>
      <c r="T5" s="822"/>
      <c r="U5" s="780"/>
      <c r="V5" s="1326"/>
      <c r="W5" s="1326"/>
      <c r="X5" s="1326"/>
      <c r="Y5" s="1326"/>
      <c r="Z5" s="1326"/>
      <c r="AA5" s="1326"/>
      <c r="AB5" s="1326"/>
      <c r="AC5" s="1327"/>
      <c r="AD5" s="1325"/>
      <c r="AE5" s="1326"/>
      <c r="AF5" s="1326"/>
      <c r="AG5" s="1326"/>
      <c r="AH5" s="1326"/>
      <c r="AI5" s="1326"/>
      <c r="AJ5" s="1326"/>
      <c r="AK5" s="1326"/>
      <c r="AL5" s="1326"/>
      <c r="AM5" s="1326"/>
      <c r="AN5" s="1326"/>
      <c r="AO5" s="1326"/>
      <c r="AP5" s="1326"/>
      <c r="AQ5" s="1326"/>
      <c r="AR5" s="1326"/>
      <c r="AS5" s="1326"/>
      <c r="AT5" s="1326"/>
      <c r="AU5" s="1326"/>
      <c r="AV5" s="1326"/>
      <c r="AW5" s="1326"/>
      <c r="AX5" s="1326"/>
      <c r="AY5" s="1326"/>
      <c r="AZ5" s="1326"/>
      <c r="BA5" s="1326"/>
      <c r="BB5" s="1327"/>
      <c r="BC5" s="781" t="s">
        <v>406</v>
      </c>
      <c r="BE5" s="69"/>
      <c r="BF5" s="69" t="str">
        <f t="shared" si="0"/>
        <v/>
      </c>
      <c r="BG5" s="69"/>
      <c r="BH5" s="69"/>
      <c r="BI5" s="68">
        <v>0</v>
      </c>
    </row>
    <row r="6" spans="1:61" s="68" customFormat="1" ht="14.25" hidden="1" customHeight="1">
      <c r="A6" s="145"/>
      <c r="B6" s="145"/>
      <c r="C6" s="145"/>
      <c r="D6" s="145"/>
      <c r="E6" s="1295"/>
      <c r="F6" s="1295"/>
      <c r="G6" s="1295"/>
      <c r="H6" s="1295"/>
      <c r="I6" s="1296" t="str">
        <f>S5&amp;".1"</f>
        <v>.1</v>
      </c>
      <c r="J6" s="145"/>
      <c r="K6" s="145"/>
      <c r="L6" s="346" t="s">
        <v>407</v>
      </c>
      <c r="M6" s="290"/>
      <c r="N6" s="290"/>
      <c r="O6" s="290"/>
      <c r="P6" s="1298">
        <v>1</v>
      </c>
      <c r="Q6" s="122"/>
      <c r="R6" s="208"/>
      <c r="S6" s="362"/>
      <c r="T6" s="779"/>
      <c r="U6" s="780"/>
      <c r="V6" s="1326"/>
      <c r="W6" s="1326"/>
      <c r="X6" s="1326"/>
      <c r="Y6" s="1326"/>
      <c r="Z6" s="1326"/>
      <c r="AA6" s="1326"/>
      <c r="AB6" s="1326"/>
      <c r="AC6" s="1327"/>
      <c r="AD6" s="1325"/>
      <c r="AE6" s="1326"/>
      <c r="AF6" s="1326"/>
      <c r="AG6" s="1326"/>
      <c r="AH6" s="1326"/>
      <c r="AI6" s="1326"/>
      <c r="AJ6" s="1326"/>
      <c r="AK6" s="1326"/>
      <c r="AL6" s="1326"/>
      <c r="AM6" s="1326"/>
      <c r="AN6" s="1326"/>
      <c r="AO6" s="1326"/>
      <c r="AP6" s="1326"/>
      <c r="AQ6" s="1326"/>
      <c r="AR6" s="1326"/>
      <c r="AS6" s="1326"/>
      <c r="AT6" s="1326"/>
      <c r="AU6" s="1326"/>
      <c r="AV6" s="1326"/>
      <c r="AW6" s="1326"/>
      <c r="AX6" s="1326"/>
      <c r="AY6" s="1326"/>
      <c r="AZ6" s="1326"/>
      <c r="BA6" s="1326"/>
      <c r="BB6" s="1327"/>
      <c r="BC6" s="781"/>
      <c r="BE6" s="69"/>
      <c r="BF6" s="69" t="str">
        <f t="shared" si="0"/>
        <v/>
      </c>
      <c r="BG6" s="69"/>
      <c r="BH6" s="69"/>
      <c r="BI6" s="68">
        <v>0</v>
      </c>
    </row>
    <row r="7" spans="1:61" s="68" customFormat="1" ht="14.25" hidden="1" customHeight="1">
      <c r="A7" s="145"/>
      <c r="B7" s="145"/>
      <c r="C7" s="145"/>
      <c r="D7" s="145"/>
      <c r="E7" s="1295"/>
      <c r="F7" s="1295"/>
      <c r="G7" s="1295"/>
      <c r="H7" s="1295"/>
      <c r="I7" s="1297"/>
      <c r="J7" s="1296" t="str">
        <f>S5&amp;".1"</f>
        <v>.1</v>
      </c>
      <c r="K7" s="145"/>
      <c r="L7" s="346"/>
      <c r="M7" s="290"/>
      <c r="N7" s="290"/>
      <c r="O7" s="290"/>
      <c r="P7" s="1298"/>
      <c r="Q7" s="1298">
        <v>1</v>
      </c>
      <c r="R7" s="209"/>
      <c r="S7" s="362"/>
      <c r="T7" s="794"/>
      <c r="U7" s="780"/>
      <c r="V7" s="1326"/>
      <c r="W7" s="1326"/>
      <c r="X7" s="1326"/>
      <c r="Y7" s="1326"/>
      <c r="Z7" s="1326"/>
      <c r="AA7" s="1326"/>
      <c r="AB7" s="1326"/>
      <c r="AC7" s="1327"/>
      <c r="AD7" s="1325"/>
      <c r="AE7" s="1326"/>
      <c r="AF7" s="1326"/>
      <c r="AG7" s="1326"/>
      <c r="AH7" s="1326"/>
      <c r="AI7" s="1326"/>
      <c r="AJ7" s="1326"/>
      <c r="AK7" s="1326"/>
      <c r="AL7" s="1326"/>
      <c r="AM7" s="1326"/>
      <c r="AN7" s="1326"/>
      <c r="AO7" s="1326"/>
      <c r="AP7" s="1326"/>
      <c r="AQ7" s="1326"/>
      <c r="AR7" s="1326"/>
      <c r="AS7" s="1326"/>
      <c r="AT7" s="1326"/>
      <c r="AU7" s="1326"/>
      <c r="AV7" s="1326"/>
      <c r="AW7" s="1326"/>
      <c r="AX7" s="1326"/>
      <c r="AY7" s="1326"/>
      <c r="AZ7" s="1326"/>
      <c r="BA7" s="1326"/>
      <c r="BB7" s="1327"/>
      <c r="BC7" s="781"/>
      <c r="BE7" s="69"/>
      <c r="BF7" s="69" t="str">
        <f t="shared" si="0"/>
        <v/>
      </c>
      <c r="BG7" s="69"/>
      <c r="BH7" s="69"/>
      <c r="BI7" s="68">
        <v>0</v>
      </c>
    </row>
    <row r="8" spans="1:61" ht="11.25" hidden="1" customHeight="1">
      <c r="A8" s="769"/>
      <c r="B8" s="769"/>
      <c r="C8" s="769"/>
      <c r="D8" s="769"/>
      <c r="E8" s="1295"/>
      <c r="F8" s="1295"/>
      <c r="G8" s="1295"/>
      <c r="H8" s="1295"/>
      <c r="I8" s="1297"/>
      <c r="J8" s="1297"/>
      <c r="K8" s="1296" t="e">
        <f>S4&amp;".1"</f>
        <v>#N/A</v>
      </c>
      <c r="L8" s="770"/>
      <c r="P8" s="1298"/>
      <c r="Q8" s="1298"/>
      <c r="R8" s="1354">
        <v>1</v>
      </c>
      <c r="S8" s="1351" t="e">
        <f>$K8</f>
        <v>#N/A</v>
      </c>
      <c r="T8" s="1371"/>
      <c r="U8" s="171"/>
      <c r="V8" s="306"/>
      <c r="W8" s="728"/>
      <c r="X8" s="306"/>
      <c r="Y8" s="728"/>
      <c r="Z8" s="943"/>
      <c r="AA8" s="297" t="s">
        <v>67</v>
      </c>
      <c r="AB8" s="943"/>
      <c r="AC8" s="297" t="s">
        <v>67</v>
      </c>
      <c r="AD8" s="1224" t="s">
        <v>67</v>
      </c>
      <c r="AE8" s="1347"/>
      <c r="AF8" s="1251">
        <v>1</v>
      </c>
      <c r="AG8" s="1370"/>
      <c r="AH8" s="1168" t="s">
        <v>67</v>
      </c>
      <c r="AI8" s="1347"/>
      <c r="AJ8" s="1251">
        <v>1</v>
      </c>
      <c r="AK8" s="1361" t="s">
        <v>28</v>
      </c>
      <c r="AL8" s="1168" t="s">
        <v>67</v>
      </c>
      <c r="AM8" s="1228"/>
      <c r="AN8" s="1251">
        <v>1</v>
      </c>
      <c r="AO8" s="1374"/>
      <c r="AP8" s="1375" t="s">
        <v>67</v>
      </c>
      <c r="AQ8" s="180"/>
      <c r="AR8" s="268">
        <v>1</v>
      </c>
      <c r="AS8" s="119" t="s">
        <v>28</v>
      </c>
      <c r="AT8" s="306"/>
      <c r="AU8" s="728"/>
      <c r="AV8" s="306"/>
      <c r="AW8" s="728"/>
      <c r="AX8" s="943"/>
      <c r="AY8" s="297" t="s">
        <v>67</v>
      </c>
      <c r="AZ8" s="943"/>
      <c r="BA8" s="297" t="s">
        <v>67</v>
      </c>
      <c r="BB8" s="766"/>
      <c r="BC8" s="1317" t="s">
        <v>502</v>
      </c>
      <c r="BE8" s="69"/>
      <c r="BF8" s="69" t="str">
        <f t="shared" si="0"/>
        <v/>
      </c>
      <c r="BG8" s="69"/>
      <c r="BH8" s="69"/>
      <c r="BI8" s="11">
        <v>0</v>
      </c>
    </row>
    <row r="9" spans="1:61" ht="11.25" hidden="1" customHeight="1">
      <c r="A9" s="769"/>
      <c r="B9" s="769"/>
      <c r="C9" s="769"/>
      <c r="D9" s="769"/>
      <c r="E9" s="1295"/>
      <c r="F9" s="1295"/>
      <c r="G9" s="1295"/>
      <c r="H9" s="1295"/>
      <c r="I9" s="1297"/>
      <c r="J9" s="1297"/>
      <c r="K9" s="1296"/>
      <c r="L9" s="770"/>
      <c r="P9" s="1298"/>
      <c r="Q9" s="1298"/>
      <c r="R9" s="1354"/>
      <c r="S9" s="1352"/>
      <c r="T9" s="1372"/>
      <c r="U9" s="171"/>
      <c r="V9" s="789"/>
      <c r="W9" s="819"/>
      <c r="X9" s="789"/>
      <c r="Y9" s="819"/>
      <c r="Z9" s="789"/>
      <c r="AA9" s="789"/>
      <c r="AB9" s="789"/>
      <c r="AC9" s="789"/>
      <c r="AD9" s="1225"/>
      <c r="AE9" s="1347"/>
      <c r="AF9" s="1251"/>
      <c r="AG9" s="1370"/>
      <c r="AH9" s="1168"/>
      <c r="AI9" s="1347"/>
      <c r="AJ9" s="1251"/>
      <c r="AK9" s="1361"/>
      <c r="AL9" s="1168"/>
      <c r="AM9" s="1233"/>
      <c r="AN9" s="1251"/>
      <c r="AO9" s="1374"/>
      <c r="AP9" s="1376"/>
      <c r="AQ9" s="184"/>
      <c r="AR9" s="52"/>
      <c r="AS9" s="52" t="s">
        <v>503</v>
      </c>
      <c r="AT9" s="789"/>
      <c r="AU9" s="819"/>
      <c r="AV9" s="789"/>
      <c r="AW9" s="819"/>
      <c r="AX9" s="789"/>
      <c r="AY9" s="789"/>
      <c r="AZ9" s="789"/>
      <c r="BA9" s="789"/>
      <c r="BB9" s="793"/>
      <c r="BC9" s="1318"/>
      <c r="BE9" s="69"/>
      <c r="BF9" s="69"/>
      <c r="BG9" s="69"/>
      <c r="BH9" s="69"/>
      <c r="BI9" s="11">
        <v>0</v>
      </c>
    </row>
    <row r="10" spans="1:61" ht="11.25" hidden="1" customHeight="1">
      <c r="A10" s="769"/>
      <c r="B10" s="769"/>
      <c r="C10" s="769"/>
      <c r="D10" s="769"/>
      <c r="E10" s="1295"/>
      <c r="F10" s="1295"/>
      <c r="G10" s="1295"/>
      <c r="H10" s="1295"/>
      <c r="I10" s="1297"/>
      <c r="J10" s="1297"/>
      <c r="K10" s="1296"/>
      <c r="L10" s="770"/>
      <c r="P10" s="1298"/>
      <c r="Q10" s="1298"/>
      <c r="R10" s="1354"/>
      <c r="S10" s="1352"/>
      <c r="T10" s="1372"/>
      <c r="U10" s="171"/>
      <c r="V10" s="789"/>
      <c r="W10" s="819"/>
      <c r="X10" s="789"/>
      <c r="Y10" s="819"/>
      <c r="Z10" s="789"/>
      <c r="AA10" s="789"/>
      <c r="AB10" s="789"/>
      <c r="AC10" s="789"/>
      <c r="AD10" s="1225"/>
      <c r="AE10" s="1347"/>
      <c r="AF10" s="1251"/>
      <c r="AG10" s="1370"/>
      <c r="AH10" s="1168"/>
      <c r="AI10" s="1347"/>
      <c r="AJ10" s="1251"/>
      <c r="AK10" s="1361"/>
      <c r="AL10" s="1168"/>
      <c r="AM10" s="184"/>
      <c r="AN10" s="823"/>
      <c r="AO10" s="823" t="s">
        <v>504</v>
      </c>
      <c r="AP10" s="52"/>
      <c r="AQ10" s="52"/>
      <c r="AR10" s="52"/>
      <c r="AS10" s="789"/>
      <c r="AT10" s="789"/>
      <c r="AU10" s="819"/>
      <c r="AV10" s="789"/>
      <c r="AW10" s="819"/>
      <c r="AX10" s="789"/>
      <c r="AY10" s="789"/>
      <c r="AZ10" s="789"/>
      <c r="BA10" s="789"/>
      <c r="BB10" s="793"/>
      <c r="BC10" s="1318"/>
      <c r="BE10" s="69"/>
      <c r="BF10" s="69"/>
      <c r="BG10" s="69"/>
      <c r="BH10" s="69"/>
      <c r="BI10" s="11">
        <v>0</v>
      </c>
    </row>
    <row r="11" spans="1:61" ht="11.25" hidden="1" customHeight="1">
      <c r="A11" s="769"/>
      <c r="B11" s="769"/>
      <c r="C11" s="769"/>
      <c r="D11" s="769"/>
      <c r="E11" s="1295"/>
      <c r="F11" s="1295"/>
      <c r="G11" s="1295"/>
      <c r="H11" s="1295"/>
      <c r="I11" s="1297"/>
      <c r="J11" s="1297"/>
      <c r="K11" s="1296"/>
      <c r="L11" s="770"/>
      <c r="P11" s="1298"/>
      <c r="Q11" s="1298"/>
      <c r="R11" s="1354"/>
      <c r="S11" s="1352"/>
      <c r="T11" s="1372"/>
      <c r="U11" s="171"/>
      <c r="V11" s="789"/>
      <c r="W11" s="819"/>
      <c r="X11" s="789"/>
      <c r="Y11" s="819"/>
      <c r="Z11" s="789"/>
      <c r="AA11" s="789"/>
      <c r="AB11" s="789"/>
      <c r="AC11" s="789"/>
      <c r="AD11" s="1225"/>
      <c r="AE11" s="1347"/>
      <c r="AF11" s="1251"/>
      <c r="AG11" s="1370"/>
      <c r="AH11" s="1168"/>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18"/>
      <c r="BE11" s="69"/>
      <c r="BF11" s="69"/>
      <c r="BG11" s="69"/>
      <c r="BH11" s="69"/>
      <c r="BI11" s="11">
        <v>0</v>
      </c>
    </row>
    <row r="12" spans="1:61" ht="11.25" hidden="1" customHeight="1">
      <c r="A12" s="769"/>
      <c r="B12" s="769"/>
      <c r="C12" s="769"/>
      <c r="D12" s="769"/>
      <c r="E12" s="1295"/>
      <c r="F12" s="1295"/>
      <c r="G12" s="1295"/>
      <c r="H12" s="1295"/>
      <c r="I12" s="1297"/>
      <c r="J12" s="1297"/>
      <c r="K12" s="1296"/>
      <c r="L12" s="770"/>
      <c r="P12" s="1298"/>
      <c r="Q12" s="1298"/>
      <c r="R12" s="1354"/>
      <c r="S12" s="1353"/>
      <c r="T12" s="1373"/>
      <c r="U12" s="171"/>
      <c r="V12" s="789"/>
      <c r="W12" s="790" t="str">
        <f>Z8&amp;"-"&amp;AB8</f>
        <v>-</v>
      </c>
      <c r="X12" s="789"/>
      <c r="Y12" s="790" t="str">
        <f>AB8&amp;"-"&amp;AD8</f>
        <v>-да</v>
      </c>
      <c r="Z12" s="789"/>
      <c r="AA12" s="789"/>
      <c r="AB12" s="789"/>
      <c r="AC12" s="789"/>
      <c r="AD12" s="1173"/>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8"/>
      <c r="BE12" s="69"/>
      <c r="BF12" s="69" t="str">
        <f t="shared" ref="BF12:BF18" si="1">IF(T12="","",T12)</f>
        <v/>
      </c>
      <c r="BG12" s="69"/>
      <c r="BH12" s="69"/>
      <c r="BI12" s="11">
        <v>0</v>
      </c>
    </row>
    <row r="13" spans="1:61" ht="11.25" hidden="1" customHeight="1">
      <c r="A13" s="769"/>
      <c r="B13" s="769"/>
      <c r="C13" s="769"/>
      <c r="D13" s="769"/>
      <c r="E13" s="1295"/>
      <c r="F13" s="1295"/>
      <c r="G13" s="1295"/>
      <c r="H13" s="1295"/>
      <c r="I13" s="1297"/>
      <c r="J13" s="1296"/>
      <c r="K13" s="769"/>
      <c r="L13" s="770"/>
      <c r="P13" s="1298"/>
      <c r="Q13" s="129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9"/>
      <c r="BE13" s="69"/>
      <c r="BF13" s="69" t="str">
        <f t="shared" si="1"/>
        <v>Добавить строку</v>
      </c>
      <c r="BG13" s="69"/>
      <c r="BH13" s="69"/>
      <c r="BI13" s="11">
        <v>0</v>
      </c>
    </row>
    <row r="14" spans="1:61" s="68" customFormat="1" ht="14.25" hidden="1" customHeight="1">
      <c r="A14" s="145"/>
      <c r="B14" s="145"/>
      <c r="C14" s="145"/>
      <c r="D14" s="145"/>
      <c r="E14" s="1295"/>
      <c r="F14" s="1295"/>
      <c r="G14" s="1295"/>
      <c r="H14" s="1295"/>
      <c r="I14" s="1296"/>
      <c r="J14" s="145"/>
      <c r="K14" s="145"/>
      <c r="L14" s="346"/>
      <c r="M14" s="290"/>
      <c r="N14" s="290"/>
      <c r="O14" s="290"/>
      <c r="P14" s="129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5"/>
      <c r="F15" s="1295"/>
      <c r="G15" s="1295"/>
      <c r="H15" s="129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5"/>
      <c r="F16" s="1295"/>
      <c r="G16" s="129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5"/>
      <c r="F17" s="1294"/>
      <c r="G17" s="145"/>
      <c r="H17" s="145"/>
      <c r="I17" s="145"/>
      <c r="J17" s="145"/>
      <c r="K17" s="145"/>
      <c r="L17" s="346"/>
      <c r="M17" s="759"/>
      <c r="N17" s="759"/>
      <c r="P17" s="104"/>
      <c r="Q17" s="755"/>
      <c r="R17" s="104"/>
      <c r="S17" s="760"/>
      <c r="T17" s="762" t="s">
        <v>275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4"/>
      <c r="F18" s="145"/>
      <c r="G18" s="145"/>
      <c r="H18" s="145"/>
      <c r="I18" s="145"/>
      <c r="J18" s="145"/>
      <c r="K18" s="145"/>
      <c r="L18" s="346"/>
      <c r="M18" s="759"/>
      <c r="N18" s="759"/>
      <c r="P18" s="104"/>
      <c r="Q18" s="755"/>
      <c r="R18" s="104"/>
      <c r="S18" s="760"/>
      <c r="T18" s="762" t="s">
        <v>276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67</v>
      </c>
      <c r="AZ20" s="945"/>
      <c r="BA20" s="816" t="s">
        <v>67</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507</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7" customHeight="1">
      <c r="Q27" s="168"/>
      <c r="R27" s="28"/>
      <c r="S27" s="739"/>
      <c r="T27" s="10"/>
      <c r="U27" s="10"/>
      <c r="BI27" s="11">
        <v>14</v>
      </c>
    </row>
    <row r="28" spans="1:61" ht="14.7" customHeight="1">
      <c r="Q28" s="168"/>
      <c r="R28" s="28"/>
      <c r="S28" s="127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75"/>
      <c r="U28" s="1275"/>
      <c r="V28" s="1275"/>
      <c r="W28" s="1275"/>
      <c r="X28" s="1275"/>
      <c r="Y28" s="1275"/>
      <c r="Z28" s="1275"/>
      <c r="AA28" s="1275"/>
      <c r="AB28" s="1275"/>
      <c r="AC28" s="1275"/>
      <c r="AD28" s="1275"/>
      <c r="AE28" s="1275"/>
      <c r="AF28" s="1275"/>
      <c r="AG28" s="1275"/>
      <c r="AH28" s="1275"/>
      <c r="AI28" s="1275"/>
      <c r="AJ28" s="1275"/>
      <c r="AK28" s="1275"/>
      <c r="AL28" s="1275"/>
      <c r="AM28" s="1275"/>
      <c r="AN28" s="1275"/>
      <c r="AO28" s="1275"/>
      <c r="AP28" s="1275"/>
      <c r="AQ28" s="1275"/>
      <c r="AR28" s="1275"/>
      <c r="AS28" s="1275"/>
      <c r="AT28" s="1275"/>
      <c r="AU28" s="1275"/>
      <c r="AV28" s="1275"/>
      <c r="AW28" s="1275"/>
      <c r="AX28" s="1275"/>
      <c r="AY28" s="1275"/>
      <c r="AZ28" s="1275"/>
      <c r="BA28" s="59"/>
      <c r="BI28" s="11">
        <v>14</v>
      </c>
    </row>
    <row r="29" spans="1:61" ht="14.7" customHeight="1">
      <c r="Q29" s="168"/>
      <c r="R29" s="28"/>
      <c r="S29" s="1247" t="str">
        <f>IF(org=0,"Не определено",org)</f>
        <v>АО "Юграавиа"</v>
      </c>
      <c r="T29" s="1247"/>
      <c r="U29" s="1247"/>
      <c r="V29" s="1247"/>
      <c r="W29" s="1247"/>
      <c r="X29" s="1247"/>
      <c r="Y29" s="1247"/>
      <c r="Z29" s="1247"/>
      <c r="AA29" s="1247"/>
      <c r="AB29" s="1247"/>
      <c r="AC29" s="1247"/>
      <c r="AD29" s="1247"/>
      <c r="AE29" s="1247"/>
      <c r="AF29" s="1247"/>
      <c r="AG29" s="1247"/>
      <c r="AH29" s="1247"/>
      <c r="AI29" s="1247"/>
      <c r="AJ29" s="1247"/>
      <c r="AK29" s="1247"/>
      <c r="AL29" s="1247"/>
      <c r="AM29" s="1247"/>
      <c r="AN29" s="1247"/>
      <c r="AO29" s="1247"/>
      <c r="AP29" s="1247"/>
      <c r="AQ29" s="1247"/>
      <c r="AR29" s="1247"/>
      <c r="AS29" s="1247"/>
      <c r="AT29" s="1247"/>
      <c r="AU29" s="1247"/>
      <c r="AV29" s="1247"/>
      <c r="AW29" s="1247"/>
      <c r="AX29" s="1247"/>
      <c r="AY29" s="1247"/>
      <c r="AZ29" s="1247"/>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5" t="s">
        <v>42</v>
      </c>
      <c r="T31" s="1285"/>
      <c r="U31" s="773"/>
      <c r="V31" s="1287" t="str">
        <f>IF(TITLE_NAME_OR_PR_CHANGE="",IF(TITLE_NAME_OR_PR="","",TITLE_NAME_OR_PR),TITLE_NAME_OR_PR_CHANGE)</f>
        <v>Региональная служба по тарифам Ханты-Мансийского автономного округа – Югры (РСТ Югры)</v>
      </c>
      <c r="W31" s="1287"/>
      <c r="X31" s="1287"/>
      <c r="Y31" s="1287"/>
      <c r="Z31" s="1287"/>
      <c r="AA31" s="1287"/>
      <c r="AB31" s="1287"/>
      <c r="AC31" s="11"/>
      <c r="AD31" s="1287" t="str">
        <f>IF(TITLE_NAME_OR_PR_CHANGE="",IF(TITLE_NAME_OR_PR="","",TITLE_NAME_OR_PR),TITLE_NAME_OR_PR_CHANGE)</f>
        <v>Региональная служба по тарифам Ханты-Мансийского автономного округа – Югры (РСТ Югры)</v>
      </c>
      <c r="AE31" s="1287"/>
      <c r="AF31" s="1287"/>
      <c r="AG31" s="1287"/>
      <c r="AH31" s="1287"/>
      <c r="AI31" s="1287"/>
      <c r="AJ31" s="1287"/>
      <c r="AK31" s="1287"/>
      <c r="AL31" s="1287"/>
      <c r="AM31" s="1287"/>
      <c r="AN31" s="1287"/>
      <c r="AO31" s="1287"/>
      <c r="AP31" s="1287"/>
      <c r="AQ31" s="1287"/>
      <c r="AR31" s="1287"/>
      <c r="AS31" s="1287"/>
      <c r="AT31" s="1287"/>
      <c r="AU31" s="1287"/>
      <c r="AV31" s="1287"/>
      <c r="AW31" s="1287"/>
      <c r="AX31" s="1287"/>
      <c r="AY31" s="1287"/>
      <c r="AZ31" s="1287"/>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5" t="s">
        <v>425</v>
      </c>
      <c r="T32" s="1285"/>
      <c r="U32" s="773"/>
      <c r="V32" s="1286">
        <f>IF(TITLE_DATE_PR_CHANGE="",IF(TITLE_DATE_PR="","",TITLE_DATE_PR),TITLE_DATE_PR_CHANGE)</f>
        <v>45999</v>
      </c>
      <c r="W32" s="1286"/>
      <c r="X32" s="1286"/>
      <c r="Y32" s="1286"/>
      <c r="Z32" s="1286"/>
      <c r="AA32" s="1286"/>
      <c r="AB32" s="1286"/>
      <c r="AC32" s="11"/>
      <c r="AD32" s="1286">
        <f>IF(TITLE_DATE_PR_CHANGE="",IF(TITLE_DATE_PR="","",TITLE_DATE_PR),TITLE_DATE_PR_CHANGE)</f>
        <v>45999</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5" t="s">
        <v>426</v>
      </c>
      <c r="T33" s="1285"/>
      <c r="U33" s="773"/>
      <c r="V33" s="1287" t="str">
        <f>IF(TITLE_NUMBER_PR_CHANGE="",IF(TITLE_NUMBER_PR="","",TITLE_NUMBER_PR),TITLE_NUMBER_PR_CHANGE)</f>
        <v>94-нп</v>
      </c>
      <c r="W33" s="1287"/>
      <c r="X33" s="1287"/>
      <c r="Y33" s="1287"/>
      <c r="Z33" s="1287"/>
      <c r="AA33" s="1287"/>
      <c r="AB33" s="1287"/>
      <c r="AC33" s="11"/>
      <c r="AD33" s="1287" t="str">
        <f>IF(TITLE_NUMBER_PR_CHANGE="",IF(TITLE_NUMBER_PR="","",TITLE_NUMBER_PR),TITLE_NUMBER_PR_CHANGE)</f>
        <v>94-нп</v>
      </c>
      <c r="AE33" s="1287"/>
      <c r="AF33" s="1287"/>
      <c r="AG33" s="1287"/>
      <c r="AH33" s="1287"/>
      <c r="AI33" s="1287"/>
      <c r="AJ33" s="1287"/>
      <c r="AK33" s="1287"/>
      <c r="AL33" s="1287"/>
      <c r="AM33" s="1287"/>
      <c r="AN33" s="1287"/>
      <c r="AO33" s="1287"/>
      <c r="AP33" s="1287"/>
      <c r="AQ33" s="1287"/>
      <c r="AR33" s="1287"/>
      <c r="AS33" s="1287"/>
      <c r="AT33" s="1287"/>
      <c r="AU33" s="1287"/>
      <c r="AV33" s="1287"/>
      <c r="AW33" s="1287"/>
      <c r="AX33" s="1287"/>
      <c r="AY33" s="1287"/>
      <c r="AZ33" s="1287"/>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5" t="s">
        <v>44</v>
      </c>
      <c r="T34" s="1285"/>
      <c r="U34" s="773"/>
      <c r="V34" s="1287" t="str">
        <f>IF(TITLE_IST_PUB_CHANGE="",IF(TITLE_IST_PUB="","",TITLE_IST_PUB),TITLE_IST_PUB_CHANGE)</f>
        <v>«Официальный интернет-портал правовой информации» (www.pravo.gov.ru)</v>
      </c>
      <c r="W34" s="1287"/>
      <c r="X34" s="1287"/>
      <c r="Y34" s="1287"/>
      <c r="Z34" s="1287"/>
      <c r="AA34" s="1287"/>
      <c r="AB34" s="1287"/>
      <c r="AC34" s="11"/>
      <c r="AD34" s="1287" t="str">
        <f>IF(TITLE_IST_PUB_CHANGE="",IF(TITLE_IST_PUB="","",TITLE_IST_PUB),TITLE_IST_PUB_CHANGE)</f>
        <v>«Официальный интернет-портал правовой информации» (www.pravo.gov.ru)</v>
      </c>
      <c r="AE34" s="1287"/>
      <c r="AF34" s="1287"/>
      <c r="AG34" s="1287"/>
      <c r="AH34" s="1287"/>
      <c r="AI34" s="1287"/>
      <c r="AJ34" s="1287"/>
      <c r="AK34" s="1287"/>
      <c r="AL34" s="1287"/>
      <c r="AM34" s="1287"/>
      <c r="AN34" s="1287"/>
      <c r="AO34" s="1287"/>
      <c r="AP34" s="1287"/>
      <c r="AQ34" s="1287"/>
      <c r="AR34" s="1287"/>
      <c r="AS34" s="1287"/>
      <c r="AT34" s="1287"/>
      <c r="AU34" s="1287"/>
      <c r="AV34" s="1287"/>
      <c r="AW34" s="1287"/>
      <c r="AX34" s="1287"/>
      <c r="AY34" s="1287"/>
      <c r="AZ34" s="128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5" t="s">
        <v>425</v>
      </c>
      <c r="T36" s="1285"/>
      <c r="U36" s="773"/>
      <c r="V36" s="1286">
        <f>IF(TITLE_DATE_PR_CHANGE="",IF(TITLE_DATE_PR="","",TITLE_DATE_PR),TITLE_DATE_PR_CHANGE)</f>
        <v>45999</v>
      </c>
      <c r="W36" s="1286"/>
      <c r="X36" s="1286"/>
      <c r="Y36" s="1286"/>
      <c r="Z36" s="1286"/>
      <c r="AA36" s="1286"/>
      <c r="AB36" s="1286"/>
      <c r="AC36" s="11"/>
      <c r="AD36" s="1286">
        <f>IF(TITLE_DATE_PR_CHANGE="",IF(TITLE_DATE_PR="","",TITLE_DATE_PR),TITLE_DATE_PR_CHANGE)</f>
        <v>45999</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5" t="s">
        <v>426</v>
      </c>
      <c r="T37" s="1285"/>
      <c r="U37" s="773"/>
      <c r="V37" s="1287" t="str">
        <f>IF(TITLE_NUMBER_PR_CHANGE="",IF(TITLE_NUMBER_PR="","",TITLE_NUMBER_PR),TITLE_NUMBER_PR_CHANGE)</f>
        <v>94-нп</v>
      </c>
      <c r="W37" s="1287"/>
      <c r="X37" s="1287"/>
      <c r="Y37" s="1287"/>
      <c r="Z37" s="1287"/>
      <c r="AA37" s="1287"/>
      <c r="AB37" s="1287"/>
      <c r="AC37" s="11"/>
      <c r="AD37" s="1287" t="str">
        <f>IF(TITLE_NUMBER_PR_CHANGE="",IF(TITLE_NUMBER_PR="","",TITLE_NUMBER_PR),TITLE_NUMBER_PR_CHANGE)</f>
        <v>94-нп</v>
      </c>
      <c r="AE37" s="1287"/>
      <c r="AF37" s="1287"/>
      <c r="AG37" s="1287"/>
      <c r="AH37" s="1287"/>
      <c r="AI37" s="1287"/>
      <c r="AJ37" s="1287"/>
      <c r="AK37" s="1287"/>
      <c r="AL37" s="1287"/>
      <c r="AM37" s="1287"/>
      <c r="AN37" s="1287"/>
      <c r="AO37" s="1287"/>
      <c r="AP37" s="1287"/>
      <c r="AQ37" s="1287"/>
      <c r="AR37" s="1287"/>
      <c r="AS37" s="1287"/>
      <c r="AT37" s="1287"/>
      <c r="AU37" s="1287"/>
      <c r="AV37" s="1287"/>
      <c r="AW37" s="1287"/>
      <c r="AX37" s="1287"/>
      <c r="AY37" s="1287"/>
      <c r="AZ37" s="128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7" customHeight="1">
      <c r="Q39" s="168"/>
      <c r="R39" s="28"/>
      <c r="S39" s="739"/>
      <c r="T39" s="10"/>
      <c r="U39" s="720"/>
      <c r="V39" s="1306"/>
      <c r="W39" s="1306"/>
      <c r="X39" s="1306"/>
      <c r="Y39" s="1306"/>
      <c r="Z39" s="1306"/>
      <c r="AA39" s="1306"/>
      <c r="AB39" s="1306"/>
      <c r="AC39" s="1306"/>
      <c r="AD39" s="1306"/>
      <c r="AE39" s="1306"/>
      <c r="AF39" s="1306"/>
      <c r="AG39" s="1306"/>
      <c r="AH39" s="1306"/>
      <c r="AI39" s="1306"/>
      <c r="AJ39" s="1306"/>
      <c r="AK39" s="1306"/>
      <c r="AL39" s="1306"/>
      <c r="AM39" s="1306"/>
      <c r="AN39" s="1306"/>
      <c r="AO39" s="1306"/>
      <c r="AP39" s="1306"/>
      <c r="AQ39" s="1306"/>
      <c r="AR39" s="1306"/>
      <c r="AS39" s="1306"/>
      <c r="AT39" s="1306"/>
      <c r="AU39" s="1306"/>
      <c r="AV39" s="1306"/>
      <c r="AW39" s="1306"/>
      <c r="AX39" s="1306"/>
      <c r="AY39" s="1306"/>
      <c r="AZ39" s="1306"/>
      <c r="BA39" s="1306"/>
      <c r="BI39" s="11">
        <v>14</v>
      </c>
    </row>
    <row r="40" spans="1:61" ht="14.7" customHeight="1">
      <c r="Q40" s="168"/>
      <c r="R40" s="28"/>
      <c r="S40" s="1158" t="s">
        <v>304</v>
      </c>
      <c r="T40" s="1158"/>
      <c r="U40" s="1158"/>
      <c r="V40" s="1158"/>
      <c r="W40" s="1158"/>
      <c r="X40" s="1158"/>
      <c r="Y40" s="1158"/>
      <c r="Z40" s="1158"/>
      <c r="AA40" s="1158"/>
      <c r="AB40" s="1158"/>
      <c r="AC40" s="1158"/>
      <c r="AD40" s="1158"/>
      <c r="AE40" s="1158"/>
      <c r="AF40" s="1158"/>
      <c r="AG40" s="1158"/>
      <c r="AH40" s="1158"/>
      <c r="AI40" s="1158"/>
      <c r="AJ40" s="1158"/>
      <c r="AK40" s="1158"/>
      <c r="AL40" s="1158"/>
      <c r="AM40" s="1158"/>
      <c r="AN40" s="1158"/>
      <c r="AO40" s="1158"/>
      <c r="AP40" s="1158"/>
      <c r="AQ40" s="1158"/>
      <c r="AR40" s="1158"/>
      <c r="AS40" s="1158"/>
      <c r="AT40" s="1158"/>
      <c r="AU40" s="1158"/>
      <c r="AV40" s="1158"/>
      <c r="AW40" s="1158"/>
      <c r="AX40" s="1158"/>
      <c r="AY40" s="1158"/>
      <c r="AZ40" s="1158"/>
      <c r="BA40" s="1158"/>
      <c r="BB40" s="1158"/>
      <c r="BC40" s="1158" t="s">
        <v>305</v>
      </c>
      <c r="BI40" s="11">
        <v>14</v>
      </c>
    </row>
    <row r="41" spans="1:61" ht="14.7" customHeight="1">
      <c r="Q41" s="168"/>
      <c r="R41" s="28"/>
      <c r="S41" s="1307" t="s">
        <v>89</v>
      </c>
      <c r="T41" s="1255" t="s">
        <v>508</v>
      </c>
      <c r="U41" s="172"/>
      <c r="V41" s="1308" t="s">
        <v>431</v>
      </c>
      <c r="W41" s="1309"/>
      <c r="X41" s="1309"/>
      <c r="Y41" s="1309"/>
      <c r="Z41" s="1309"/>
      <c r="AA41" s="1309"/>
      <c r="AB41" s="1310"/>
      <c r="AC41" s="1311" t="s">
        <v>432</v>
      </c>
      <c r="AD41" s="1340" t="s">
        <v>509</v>
      </c>
      <c r="AE41" s="1324"/>
      <c r="AF41" s="1324"/>
      <c r="AG41" s="1341"/>
      <c r="AH41" s="1340" t="s">
        <v>510</v>
      </c>
      <c r="AI41" s="1324"/>
      <c r="AJ41" s="1324"/>
      <c r="AK41" s="1341"/>
      <c r="AL41" s="1340" t="s">
        <v>511</v>
      </c>
      <c r="AM41" s="1324"/>
      <c r="AN41" s="1324"/>
      <c r="AO41" s="1341"/>
      <c r="AP41" s="1340" t="s">
        <v>512</v>
      </c>
      <c r="AQ41" s="1324"/>
      <c r="AR41" s="1324"/>
      <c r="AS41" s="1341"/>
      <c r="AT41" s="1308" t="s">
        <v>431</v>
      </c>
      <c r="AU41" s="1309"/>
      <c r="AV41" s="1309"/>
      <c r="AW41" s="1309"/>
      <c r="AX41" s="1309"/>
      <c r="AY41" s="1309"/>
      <c r="AZ41" s="1310"/>
      <c r="BA41" s="1311" t="s">
        <v>432</v>
      </c>
      <c r="BB41" s="1314" t="s">
        <v>434</v>
      </c>
      <c r="BC41" s="1158"/>
      <c r="BI41" s="11">
        <v>14</v>
      </c>
    </row>
    <row r="42" spans="1:61" ht="35.700000000000003" customHeight="1">
      <c r="Q42" s="168"/>
      <c r="R42" s="28"/>
      <c r="S42" s="1307"/>
      <c r="T42" s="1255"/>
      <c r="U42" s="607"/>
      <c r="V42" s="1228" t="s">
        <v>513</v>
      </c>
      <c r="W42" s="1229"/>
      <c r="X42" s="1228" t="s">
        <v>514</v>
      </c>
      <c r="Y42" s="1229"/>
      <c r="Z42" s="1228" t="s">
        <v>515</v>
      </c>
      <c r="AA42" s="1336"/>
      <c r="AB42" s="1229"/>
      <c r="AC42" s="1312"/>
      <c r="AD42" s="1342"/>
      <c r="AE42" s="1343"/>
      <c r="AF42" s="1343"/>
      <c r="AG42" s="1355"/>
      <c r="AH42" s="1342"/>
      <c r="AI42" s="1343"/>
      <c r="AJ42" s="1343"/>
      <c r="AK42" s="1355"/>
      <c r="AL42" s="1342"/>
      <c r="AM42" s="1343"/>
      <c r="AN42" s="1343"/>
      <c r="AO42" s="1355"/>
      <c r="AP42" s="1342"/>
      <c r="AQ42" s="1343"/>
      <c r="AR42" s="1343"/>
      <c r="AS42" s="1355"/>
      <c r="AT42" s="1228" t="s">
        <v>513</v>
      </c>
      <c r="AU42" s="1229"/>
      <c r="AV42" s="1228" t="s">
        <v>514</v>
      </c>
      <c r="AW42" s="1229"/>
      <c r="AX42" s="1228" t="s">
        <v>515</v>
      </c>
      <c r="AY42" s="1336"/>
      <c r="AZ42" s="1229"/>
      <c r="BA42" s="1312"/>
      <c r="BB42" s="1315"/>
      <c r="BC42" s="1158"/>
      <c r="BI42" s="11">
        <v>34</v>
      </c>
    </row>
    <row r="43" spans="1:61" ht="14.7" customHeight="1">
      <c r="Q43" s="168"/>
      <c r="R43" s="28"/>
      <c r="S43" s="1307"/>
      <c r="T43" s="1255"/>
      <c r="U43" s="607"/>
      <c r="V43" s="1233"/>
      <c r="W43" s="1234"/>
      <c r="X43" s="1233"/>
      <c r="Y43" s="1234"/>
      <c r="Z43" s="1233"/>
      <c r="AA43" s="1337"/>
      <c r="AB43" s="1234"/>
      <c r="AC43" s="1312"/>
      <c r="AD43" s="1342"/>
      <c r="AE43" s="1343"/>
      <c r="AF43" s="1343"/>
      <c r="AG43" s="1355"/>
      <c r="AH43" s="1342"/>
      <c r="AI43" s="1343"/>
      <c r="AJ43" s="1343"/>
      <c r="AK43" s="1355"/>
      <c r="AL43" s="1342"/>
      <c r="AM43" s="1343"/>
      <c r="AN43" s="1343"/>
      <c r="AO43" s="1355"/>
      <c r="AP43" s="1342"/>
      <c r="AQ43" s="1343"/>
      <c r="AR43" s="1343"/>
      <c r="AS43" s="1355"/>
      <c r="AT43" s="1233"/>
      <c r="AU43" s="1234"/>
      <c r="AV43" s="1233"/>
      <c r="AW43" s="1234"/>
      <c r="AX43" s="1233"/>
      <c r="AY43" s="1337"/>
      <c r="AZ43" s="1234"/>
      <c r="BA43" s="1312"/>
      <c r="BB43" s="1315"/>
      <c r="BC43" s="1158"/>
      <c r="BI43" s="11">
        <v>14</v>
      </c>
    </row>
    <row r="44" spans="1:61" ht="14.7"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07"/>
      <c r="T44" s="1255"/>
      <c r="U44" s="173"/>
      <c r="V44" s="36" t="s">
        <v>479</v>
      </c>
      <c r="W44" s="36" t="s">
        <v>480</v>
      </c>
      <c r="X44" s="36" t="s">
        <v>479</v>
      </c>
      <c r="Y44" s="36" t="s">
        <v>480</v>
      </c>
      <c r="Z44" s="39" t="s">
        <v>448</v>
      </c>
      <c r="AA44" s="1260" t="s">
        <v>449</v>
      </c>
      <c r="AB44" s="1274"/>
      <c r="AC44" s="1313"/>
      <c r="AD44" s="1344"/>
      <c r="AE44" s="1345"/>
      <c r="AF44" s="1345"/>
      <c r="AG44" s="1346"/>
      <c r="AH44" s="1344"/>
      <c r="AI44" s="1345"/>
      <c r="AJ44" s="1345"/>
      <c r="AK44" s="1346"/>
      <c r="AL44" s="1344"/>
      <c r="AM44" s="1345"/>
      <c r="AN44" s="1345"/>
      <c r="AO44" s="1346"/>
      <c r="AP44" s="1344"/>
      <c r="AQ44" s="1345"/>
      <c r="AR44" s="1345"/>
      <c r="AS44" s="1346"/>
      <c r="AT44" s="36" t="s">
        <v>479</v>
      </c>
      <c r="AU44" s="36" t="s">
        <v>480</v>
      </c>
      <c r="AV44" s="36" t="s">
        <v>479</v>
      </c>
      <c r="AW44" s="36" t="s">
        <v>480</v>
      </c>
      <c r="AX44" s="39" t="s">
        <v>448</v>
      </c>
      <c r="AY44" s="1260" t="s">
        <v>449</v>
      </c>
      <c r="AZ44" s="1274"/>
      <c r="BA44" s="1313"/>
      <c r="BB44" s="1316"/>
      <c r="BC44" s="115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5">
        <f t="shared" ca="1" si="2"/>
        <v>8</v>
      </c>
      <c r="AB45" s="130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5">
        <f ca="1">OFFSET(AY45,0,-1)+1</f>
        <v>3</v>
      </c>
      <c r="AZ45" s="1305"/>
      <c r="BA45" s="727">
        <f ca="1">OFFSET(BA45,0,-2)+1</f>
        <v>4</v>
      </c>
      <c r="BB45" s="721">
        <f ca="1">OFFSET(BB45,0,-1)</f>
        <v>4</v>
      </c>
      <c r="BC45" s="727">
        <f ca="1">OFFSET(BC45,0,-1)+1</f>
        <v>5</v>
      </c>
      <c r="BD45" s="68"/>
      <c r="BE45" s="68"/>
      <c r="BF45" s="68"/>
      <c r="BG45" s="68"/>
      <c r="BH45" s="68"/>
      <c r="BI45" s="203">
        <v>0</v>
      </c>
    </row>
    <row r="46" spans="1:61" ht="22.05" customHeight="1">
      <c r="A46" s="769" t="s">
        <v>245</v>
      </c>
      <c r="B46" s="769"/>
      <c r="C46" s="769"/>
      <c r="D46" s="769"/>
      <c r="E46" s="129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89"/>
      <c r="W46" s="1289"/>
      <c r="X46" s="1289"/>
      <c r="Y46" s="1289"/>
      <c r="Z46" s="1289"/>
      <c r="AA46" s="1289"/>
      <c r="AB46" s="1289"/>
      <c r="AC46" s="1290"/>
      <c r="AD46" s="1288" t="str">
        <f>INDEX(PT_DIFFERENTIATION_NTAR,MATCH(A46,PT_DIFFERENTIATION_NTAR_ID,0))</f>
        <v/>
      </c>
      <c r="AE46" s="1289"/>
      <c r="AF46" s="1289"/>
      <c r="AG46" s="1289"/>
      <c r="AH46" s="1289"/>
      <c r="AI46" s="1289"/>
      <c r="AJ46" s="1289"/>
      <c r="AK46" s="1289"/>
      <c r="AL46" s="1289"/>
      <c r="AM46" s="1289"/>
      <c r="AN46" s="1289"/>
      <c r="AO46" s="1289"/>
      <c r="AP46" s="1289"/>
      <c r="AQ46" s="1289"/>
      <c r="AR46" s="1289"/>
      <c r="AS46" s="1289"/>
      <c r="AT46" s="1289"/>
      <c r="AU46" s="1289"/>
      <c r="AV46" s="1289"/>
      <c r="AW46" s="1289"/>
      <c r="AX46" s="1289"/>
      <c r="AY46" s="1289"/>
      <c r="AZ46" s="1289"/>
      <c r="BA46" s="1289"/>
      <c r="BB46" s="129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245</v>
      </c>
      <c r="B47" s="769" t="s">
        <v>246</v>
      </c>
      <c r="C47" s="769"/>
      <c r="D47" s="769"/>
      <c r="E47" s="1295"/>
      <c r="F47" s="1294">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9"/>
      <c r="W47" s="1289"/>
      <c r="X47" s="1289"/>
      <c r="Y47" s="1289"/>
      <c r="Z47" s="1289"/>
      <c r="AA47" s="1289"/>
      <c r="AB47" s="1289"/>
      <c r="AC47" s="1290"/>
      <c r="AD47" s="1288" t="str">
        <f>INDEX(PT_DIFFERENTIATION_TER,MATCH(B47,PT_DIFFERENTIATION_TER_ID,0))</f>
        <v/>
      </c>
      <c r="AE47" s="1289"/>
      <c r="AF47" s="1289"/>
      <c r="AG47" s="1289"/>
      <c r="AH47" s="1289"/>
      <c r="AI47" s="1289"/>
      <c r="AJ47" s="1289"/>
      <c r="AK47" s="1289"/>
      <c r="AL47" s="1289"/>
      <c r="AM47" s="1289"/>
      <c r="AN47" s="1289"/>
      <c r="AO47" s="1289"/>
      <c r="AP47" s="1289"/>
      <c r="AQ47" s="1289"/>
      <c r="AR47" s="1289"/>
      <c r="AS47" s="1289"/>
      <c r="AT47" s="1289"/>
      <c r="AU47" s="1289"/>
      <c r="AV47" s="1289"/>
      <c r="AW47" s="1289"/>
      <c r="AX47" s="1289"/>
      <c r="AY47" s="1289"/>
      <c r="AZ47" s="1289"/>
      <c r="BA47" s="1289"/>
      <c r="BB47" s="1290"/>
      <c r="BC47" s="729" t="s">
        <v>402</v>
      </c>
      <c r="BE47" s="69"/>
      <c r="BF47" s="69" t="str">
        <f t="shared" si="3"/>
        <v>Территория действия тарифа</v>
      </c>
      <c r="BG47" s="69"/>
      <c r="BH47" s="69"/>
      <c r="BI47" s="11">
        <v>21</v>
      </c>
    </row>
    <row r="48" spans="1:61" ht="43.05" customHeight="1">
      <c r="A48" s="769" t="s">
        <v>245</v>
      </c>
      <c r="B48" s="769" t="s">
        <v>246</v>
      </c>
      <c r="C48" s="769" t="s">
        <v>247</v>
      </c>
      <c r="D48" s="769"/>
      <c r="E48" s="1295"/>
      <c r="F48" s="1295"/>
      <c r="G48" s="1294">
        <v>1</v>
      </c>
      <c r="H48" s="769"/>
      <c r="I48" s="769"/>
      <c r="J48" s="769"/>
      <c r="K48" s="769"/>
      <c r="L48" s="770"/>
      <c r="M48" s="426"/>
      <c r="N48" s="426"/>
      <c r="O48" s="426"/>
      <c r="P48" s="131"/>
      <c r="Q48" s="802"/>
      <c r="R48" s="205"/>
      <c r="S48" s="709" t="str">
        <f>INDEX(PT_DIFFERENTIATION_NUM_CS,MATCH(C48,PT_DIFFERENTIATION_CS_ID,0))</f>
        <v>..</v>
      </c>
      <c r="T48" s="178" t="s">
        <v>482</v>
      </c>
      <c r="U48" s="171"/>
      <c r="V48" s="1289"/>
      <c r="W48" s="1289"/>
      <c r="X48" s="1289"/>
      <c r="Y48" s="1289"/>
      <c r="Z48" s="1289"/>
      <c r="AA48" s="1289"/>
      <c r="AB48" s="1289"/>
      <c r="AC48" s="1290"/>
      <c r="AD48" s="1288" t="str">
        <f>INDEX(PT_DIFFERENTIATION_CS,MATCH(C48,PT_DIFFERENTIATION_CS_ID,0))</f>
        <v/>
      </c>
      <c r="AE48" s="1289"/>
      <c r="AF48" s="1289"/>
      <c r="AG48" s="1289"/>
      <c r="AH48" s="1289"/>
      <c r="AI48" s="1289"/>
      <c r="AJ48" s="1289"/>
      <c r="AK48" s="1289"/>
      <c r="AL48" s="1289"/>
      <c r="AM48" s="1289"/>
      <c r="AN48" s="1289"/>
      <c r="AO48" s="1289"/>
      <c r="AP48" s="1289"/>
      <c r="AQ48" s="1289"/>
      <c r="AR48" s="1289"/>
      <c r="AS48" s="1289"/>
      <c r="AT48" s="1289"/>
      <c r="AU48" s="1289"/>
      <c r="AV48" s="1289"/>
      <c r="AW48" s="1289"/>
      <c r="AX48" s="1289"/>
      <c r="AY48" s="1289"/>
      <c r="AZ48" s="1289"/>
      <c r="BA48" s="1289"/>
      <c r="BB48" s="1290"/>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516</v>
      </c>
      <c r="E49" s="1295"/>
      <c r="F49" s="1295"/>
      <c r="G49" s="1295"/>
      <c r="H49" s="1294">
        <v>1</v>
      </c>
      <c r="I49" s="145"/>
      <c r="J49" s="145"/>
      <c r="K49" s="145"/>
      <c r="L49" s="346"/>
      <c r="M49" s="293"/>
      <c r="N49" s="293"/>
      <c r="O49" s="293"/>
      <c r="P49" s="820"/>
      <c r="Q49" s="821"/>
      <c r="R49" s="209"/>
      <c r="S49" s="362"/>
      <c r="T49" s="822"/>
      <c r="U49" s="780"/>
      <c r="V49" s="1326"/>
      <c r="W49" s="1326"/>
      <c r="X49" s="1326"/>
      <c r="Y49" s="1326"/>
      <c r="Z49" s="1326"/>
      <c r="AA49" s="1326"/>
      <c r="AB49" s="1326"/>
      <c r="AC49" s="1327"/>
      <c r="AD49" s="1325"/>
      <c r="AE49" s="1326"/>
      <c r="AF49" s="1326"/>
      <c r="AG49" s="1326"/>
      <c r="AH49" s="1326"/>
      <c r="AI49" s="1326"/>
      <c r="AJ49" s="1326"/>
      <c r="AK49" s="1326"/>
      <c r="AL49" s="1326"/>
      <c r="AM49" s="1326"/>
      <c r="AN49" s="1326"/>
      <c r="AO49" s="1326"/>
      <c r="AP49" s="1326"/>
      <c r="AQ49" s="1326"/>
      <c r="AR49" s="1326"/>
      <c r="AS49" s="1326"/>
      <c r="AT49" s="1326"/>
      <c r="AU49" s="1326"/>
      <c r="AV49" s="1326"/>
      <c r="AW49" s="1326"/>
      <c r="AX49" s="1326"/>
      <c r="AY49" s="1326"/>
      <c r="AZ49" s="1326"/>
      <c r="BA49" s="1326"/>
      <c r="BB49" s="1327"/>
      <c r="BC49" s="781" t="s">
        <v>406</v>
      </c>
      <c r="BE49" s="69"/>
      <c r="BF49" s="69" t="str">
        <f t="shared" si="3"/>
        <v/>
      </c>
      <c r="BG49" s="69"/>
      <c r="BH49" s="69"/>
      <c r="BI49" s="68">
        <v>0</v>
      </c>
    </row>
    <row r="50" spans="1:61" s="68" customFormat="1" ht="0" hidden="1" customHeight="1">
      <c r="A50" s="145" t="s">
        <v>245</v>
      </c>
      <c r="B50" s="145" t="s">
        <v>246</v>
      </c>
      <c r="C50" s="145" t="s">
        <v>247</v>
      </c>
      <c r="D50" s="145" t="s">
        <v>516</v>
      </c>
      <c r="E50" s="1295"/>
      <c r="F50" s="1295"/>
      <c r="G50" s="1295"/>
      <c r="H50" s="1295"/>
      <c r="I50" s="1296" t="str">
        <f>S49&amp;".1"</f>
        <v>.1</v>
      </c>
      <c r="J50" s="145"/>
      <c r="K50" s="145"/>
      <c r="L50" s="346" t="s">
        <v>407</v>
      </c>
      <c r="M50" s="290"/>
      <c r="N50" s="290"/>
      <c r="O50" s="290"/>
      <c r="P50" s="1298">
        <v>1</v>
      </c>
      <c r="Q50" s="122"/>
      <c r="R50" s="208"/>
      <c r="S50" s="362"/>
      <c r="T50" s="779"/>
      <c r="U50" s="780"/>
      <c r="V50" s="1326"/>
      <c r="W50" s="1326"/>
      <c r="X50" s="1326"/>
      <c r="Y50" s="1326"/>
      <c r="Z50" s="1326"/>
      <c r="AA50" s="1326"/>
      <c r="AB50" s="1326"/>
      <c r="AC50" s="1327"/>
      <c r="AD50" s="1325"/>
      <c r="AE50" s="1326"/>
      <c r="AF50" s="1326"/>
      <c r="AG50" s="1326"/>
      <c r="AH50" s="1326"/>
      <c r="AI50" s="1326"/>
      <c r="AJ50" s="1326"/>
      <c r="AK50" s="1326"/>
      <c r="AL50" s="1326"/>
      <c r="AM50" s="1326"/>
      <c r="AN50" s="1326"/>
      <c r="AO50" s="1326"/>
      <c r="AP50" s="1326"/>
      <c r="AQ50" s="1326"/>
      <c r="AR50" s="1326"/>
      <c r="AS50" s="1326"/>
      <c r="AT50" s="1326"/>
      <c r="AU50" s="1326"/>
      <c r="AV50" s="1326"/>
      <c r="AW50" s="1326"/>
      <c r="AX50" s="1326"/>
      <c r="AY50" s="1326"/>
      <c r="AZ50" s="1326"/>
      <c r="BA50" s="1326"/>
      <c r="BB50" s="1327"/>
      <c r="BC50" s="781"/>
      <c r="BE50" s="69"/>
      <c r="BF50" s="69" t="str">
        <f t="shared" si="3"/>
        <v/>
      </c>
      <c r="BG50" s="69"/>
      <c r="BH50" s="69"/>
      <c r="BI50" s="68">
        <v>0</v>
      </c>
    </row>
    <row r="51" spans="1:61" s="68" customFormat="1" ht="0" hidden="1" customHeight="1">
      <c r="A51" s="145" t="s">
        <v>245</v>
      </c>
      <c r="B51" s="145" t="s">
        <v>246</v>
      </c>
      <c r="C51" s="145" t="s">
        <v>247</v>
      </c>
      <c r="D51" s="145" t="s">
        <v>516</v>
      </c>
      <c r="E51" s="1295"/>
      <c r="F51" s="1295"/>
      <c r="G51" s="1295"/>
      <c r="H51" s="1295"/>
      <c r="I51" s="1297"/>
      <c r="J51" s="1296" t="str">
        <f>S49&amp;".1"</f>
        <v>.1</v>
      </c>
      <c r="K51" s="145"/>
      <c r="L51" s="346"/>
      <c r="M51" s="290"/>
      <c r="N51" s="290"/>
      <c r="O51" s="290"/>
      <c r="P51" s="1298"/>
      <c r="Q51" s="1298">
        <v>1</v>
      </c>
      <c r="R51" s="209"/>
      <c r="S51" s="362"/>
      <c r="T51" s="794"/>
      <c r="U51" s="780"/>
      <c r="V51" s="1326"/>
      <c r="W51" s="1326"/>
      <c r="X51" s="1326"/>
      <c r="Y51" s="1326"/>
      <c r="Z51" s="1326"/>
      <c r="AA51" s="1326"/>
      <c r="AB51" s="1326"/>
      <c r="AC51" s="1327"/>
      <c r="AD51" s="1325"/>
      <c r="AE51" s="1326"/>
      <c r="AF51" s="1326"/>
      <c r="AG51" s="1326"/>
      <c r="AH51" s="1326"/>
      <c r="AI51" s="1326"/>
      <c r="AJ51" s="1326"/>
      <c r="AK51" s="1326"/>
      <c r="AL51" s="1326"/>
      <c r="AM51" s="1326"/>
      <c r="AN51" s="1377"/>
      <c r="AO51" s="1377"/>
      <c r="AP51" s="1326"/>
      <c r="AQ51" s="1326"/>
      <c r="AR51" s="1326"/>
      <c r="AS51" s="1326"/>
      <c r="AT51" s="1326"/>
      <c r="AU51" s="1326"/>
      <c r="AV51" s="1326"/>
      <c r="AW51" s="1326"/>
      <c r="AX51" s="1326"/>
      <c r="AY51" s="1326"/>
      <c r="AZ51" s="1326"/>
      <c r="BA51" s="1326"/>
      <c r="BB51" s="1327"/>
      <c r="BC51" s="781"/>
      <c r="BE51" s="69"/>
      <c r="BF51" s="69" t="str">
        <f t="shared" si="3"/>
        <v/>
      </c>
      <c r="BG51" s="69"/>
      <c r="BH51" s="69"/>
      <c r="BI51" s="68">
        <v>0</v>
      </c>
    </row>
    <row r="52" spans="1:61" ht="11.55" customHeight="1">
      <c r="A52" s="769" t="s">
        <v>245</v>
      </c>
      <c r="B52" s="769" t="s">
        <v>246</v>
      </c>
      <c r="C52" s="769" t="s">
        <v>247</v>
      </c>
      <c r="D52" s="769" t="s">
        <v>516</v>
      </c>
      <c r="E52" s="1295"/>
      <c r="F52" s="1295"/>
      <c r="G52" s="1295"/>
      <c r="H52" s="1295"/>
      <c r="I52" s="1297"/>
      <c r="J52" s="1297"/>
      <c r="K52" s="1296" t="str">
        <f>S48&amp;".1"</f>
        <v>...1</v>
      </c>
      <c r="L52" s="770"/>
      <c r="P52" s="1298"/>
      <c r="Q52" s="1298"/>
      <c r="R52" s="209">
        <v>1</v>
      </c>
      <c r="S52" s="1351" t="str">
        <f>$K52</f>
        <v>...1</v>
      </c>
      <c r="T52" s="1371"/>
      <c r="U52" s="171"/>
      <c r="V52" s="306"/>
      <c r="W52" s="728"/>
      <c r="X52" s="306"/>
      <c r="Y52" s="728"/>
      <c r="Z52" s="943"/>
      <c r="AA52" s="297" t="s">
        <v>67</v>
      </c>
      <c r="AB52" s="943"/>
      <c r="AC52" s="297" t="s">
        <v>67</v>
      </c>
      <c r="AD52" s="1224" t="s">
        <v>67</v>
      </c>
      <c r="AE52" s="1347"/>
      <c r="AF52" s="1251">
        <v>1</v>
      </c>
      <c r="AG52" s="1370"/>
      <c r="AH52" s="1168" t="s">
        <v>67</v>
      </c>
      <c r="AI52" s="1347"/>
      <c r="AJ52" s="1251">
        <v>1</v>
      </c>
      <c r="AK52" s="1361" t="s">
        <v>28</v>
      </c>
      <c r="AL52" s="1168" t="s">
        <v>67</v>
      </c>
      <c r="AM52" s="1228"/>
      <c r="AN52" s="1251">
        <v>1</v>
      </c>
      <c r="AO52" s="1374"/>
      <c r="AP52" s="1375" t="s">
        <v>67</v>
      </c>
      <c r="AQ52" s="180"/>
      <c r="AR52" s="268">
        <v>1</v>
      </c>
      <c r="AS52" s="119" t="s">
        <v>28</v>
      </c>
      <c r="AT52" s="306"/>
      <c r="AU52" s="728"/>
      <c r="AV52" s="306"/>
      <c r="AW52" s="728"/>
      <c r="AX52" s="943"/>
      <c r="AY52" s="297" t="s">
        <v>67</v>
      </c>
      <c r="AZ52" s="943"/>
      <c r="BA52" s="297" t="s">
        <v>67</v>
      </c>
      <c r="BB52" s="766"/>
      <c r="BC52" s="1317" t="s">
        <v>502</v>
      </c>
      <c r="BE52" s="69"/>
      <c r="BF52" s="69" t="str">
        <f t="shared" si="3"/>
        <v/>
      </c>
      <c r="BG52" s="69"/>
      <c r="BH52" s="69"/>
      <c r="BI52" s="11">
        <v>11</v>
      </c>
    </row>
    <row r="53" spans="1:61" ht="11.55" customHeight="1">
      <c r="A53" s="769"/>
      <c r="B53" s="769"/>
      <c r="C53" s="769"/>
      <c r="D53" s="769"/>
      <c r="E53" s="1295"/>
      <c r="F53" s="1295"/>
      <c r="G53" s="1295"/>
      <c r="H53" s="1295"/>
      <c r="I53" s="1297"/>
      <c r="J53" s="1297"/>
      <c r="K53" s="1296"/>
      <c r="L53" s="770"/>
      <c r="P53" s="1298"/>
      <c r="Q53" s="1298"/>
      <c r="R53" s="209"/>
      <c r="S53" s="1352"/>
      <c r="T53" s="1372"/>
      <c r="U53" s="171"/>
      <c r="V53" s="789"/>
      <c r="W53" s="819"/>
      <c r="X53" s="789"/>
      <c r="Y53" s="819"/>
      <c r="Z53" s="789"/>
      <c r="AA53" s="789"/>
      <c r="AB53" s="789"/>
      <c r="AC53" s="789"/>
      <c r="AD53" s="1225"/>
      <c r="AE53" s="1347"/>
      <c r="AF53" s="1251"/>
      <c r="AG53" s="1370"/>
      <c r="AH53" s="1168"/>
      <c r="AI53" s="1347"/>
      <c r="AJ53" s="1251"/>
      <c r="AK53" s="1361"/>
      <c r="AL53" s="1168"/>
      <c r="AM53" s="1233"/>
      <c r="AN53" s="1251"/>
      <c r="AO53" s="1374"/>
      <c r="AP53" s="1376"/>
      <c r="AQ53" s="184"/>
      <c r="AR53" s="52"/>
      <c r="AS53" s="52" t="s">
        <v>503</v>
      </c>
      <c r="AT53" s="789"/>
      <c r="AU53" s="819"/>
      <c r="AV53" s="789"/>
      <c r="AW53" s="819"/>
      <c r="AX53" s="789"/>
      <c r="AY53" s="789"/>
      <c r="AZ53" s="789"/>
      <c r="BA53" s="789"/>
      <c r="BB53" s="793"/>
      <c r="BC53" s="1318"/>
      <c r="BE53" s="69"/>
      <c r="BF53" s="69"/>
      <c r="BG53" s="69"/>
      <c r="BH53" s="69"/>
      <c r="BI53" s="11">
        <v>11</v>
      </c>
    </row>
    <row r="54" spans="1:61" ht="11.55" customHeight="1">
      <c r="A54" s="769" t="s">
        <v>245</v>
      </c>
      <c r="B54" s="769"/>
      <c r="C54" s="769"/>
      <c r="D54" s="769"/>
      <c r="E54" s="1295"/>
      <c r="F54" s="1295"/>
      <c r="G54" s="1295"/>
      <c r="H54" s="1295"/>
      <c r="I54" s="1297"/>
      <c r="J54" s="1297"/>
      <c r="K54" s="1296"/>
      <c r="L54" s="770"/>
      <c r="P54" s="1298"/>
      <c r="Q54" s="1298"/>
      <c r="R54" s="209"/>
      <c r="S54" s="1352"/>
      <c r="T54" s="1372"/>
      <c r="U54" s="171"/>
      <c r="V54" s="789"/>
      <c r="W54" s="819"/>
      <c r="X54" s="789"/>
      <c r="Y54" s="819"/>
      <c r="Z54" s="789"/>
      <c r="AA54" s="789"/>
      <c r="AB54" s="789"/>
      <c r="AC54" s="789"/>
      <c r="AD54" s="1225"/>
      <c r="AE54" s="1347"/>
      <c r="AF54" s="1251"/>
      <c r="AG54" s="1370"/>
      <c r="AH54" s="1168"/>
      <c r="AI54" s="1347"/>
      <c r="AJ54" s="1251"/>
      <c r="AK54" s="1361"/>
      <c r="AL54" s="1168"/>
      <c r="AM54" s="184"/>
      <c r="AN54" s="823"/>
      <c r="AO54" s="823" t="s">
        <v>504</v>
      </c>
      <c r="AP54" s="52"/>
      <c r="AQ54" s="52"/>
      <c r="AR54" s="52"/>
      <c r="AS54" s="789"/>
      <c r="AT54" s="789"/>
      <c r="AU54" s="819"/>
      <c r="AV54" s="789"/>
      <c r="AW54" s="819"/>
      <c r="AX54" s="789"/>
      <c r="AY54" s="789"/>
      <c r="AZ54" s="789"/>
      <c r="BA54" s="789"/>
      <c r="BB54" s="793"/>
      <c r="BC54" s="1318"/>
      <c r="BE54" s="69"/>
      <c r="BF54" s="69"/>
      <c r="BG54" s="69"/>
      <c r="BH54" s="69"/>
      <c r="BI54" s="11">
        <v>11</v>
      </c>
    </row>
    <row r="55" spans="1:61" ht="11.55" customHeight="1">
      <c r="A55" s="769" t="s">
        <v>245</v>
      </c>
      <c r="B55" s="769"/>
      <c r="C55" s="769"/>
      <c r="D55" s="769"/>
      <c r="E55" s="1295"/>
      <c r="F55" s="1295"/>
      <c r="G55" s="1295"/>
      <c r="H55" s="1295"/>
      <c r="I55" s="1297"/>
      <c r="J55" s="1297"/>
      <c r="K55" s="1296"/>
      <c r="L55" s="770"/>
      <c r="P55" s="1298"/>
      <c r="Q55" s="1298"/>
      <c r="R55" s="209"/>
      <c r="S55" s="1352"/>
      <c r="T55" s="1372"/>
      <c r="U55" s="171"/>
      <c r="V55" s="789"/>
      <c r="W55" s="819"/>
      <c r="X55" s="789"/>
      <c r="Y55" s="819"/>
      <c r="Z55" s="789"/>
      <c r="AA55" s="789"/>
      <c r="AB55" s="789"/>
      <c r="AC55" s="789"/>
      <c r="AD55" s="1225"/>
      <c r="AE55" s="1347"/>
      <c r="AF55" s="1251"/>
      <c r="AG55" s="1370"/>
      <c r="AH55" s="1168"/>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18"/>
      <c r="BE55" s="69"/>
      <c r="BF55" s="69"/>
      <c r="BG55" s="69"/>
      <c r="BH55" s="69"/>
      <c r="BI55" s="11">
        <v>11</v>
      </c>
    </row>
    <row r="56" spans="1:61" ht="11.55" customHeight="1">
      <c r="A56" s="769" t="s">
        <v>245</v>
      </c>
      <c r="B56" s="769" t="s">
        <v>246</v>
      </c>
      <c r="C56" s="769" t="s">
        <v>247</v>
      </c>
      <c r="D56" s="769" t="s">
        <v>516</v>
      </c>
      <c r="E56" s="1295"/>
      <c r="F56" s="1295"/>
      <c r="G56" s="1295"/>
      <c r="H56" s="1295"/>
      <c r="I56" s="1297"/>
      <c r="J56" s="1297"/>
      <c r="K56" s="1296"/>
      <c r="L56" s="770"/>
      <c r="P56" s="1298"/>
      <c r="Q56" s="1298"/>
      <c r="R56" s="209"/>
      <c r="S56" s="1353"/>
      <c r="T56" s="1373"/>
      <c r="U56" s="171"/>
      <c r="V56" s="789"/>
      <c r="W56" s="790" t="str">
        <f>Z52&amp;"-"&amp;AB52</f>
        <v>-</v>
      </c>
      <c r="X56" s="789"/>
      <c r="Y56" s="790" t="str">
        <f>AB52&amp;"-"&amp;AD52</f>
        <v>-да</v>
      </c>
      <c r="Z56" s="789"/>
      <c r="AA56" s="789"/>
      <c r="AB56" s="789"/>
      <c r="AC56" s="789"/>
      <c r="AD56" s="1173"/>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8"/>
      <c r="BE56" s="69"/>
      <c r="BF56" s="69" t="str">
        <f t="shared" ref="BF56:BF63" si="4">IF(T56="","",T56)</f>
        <v/>
      </c>
      <c r="BG56" s="69"/>
      <c r="BH56" s="69"/>
      <c r="BI56" s="11">
        <v>11</v>
      </c>
    </row>
    <row r="57" spans="1:61" ht="11.55" customHeight="1">
      <c r="A57" s="769" t="s">
        <v>245</v>
      </c>
      <c r="B57" s="769" t="s">
        <v>246</v>
      </c>
      <c r="C57" s="769" t="s">
        <v>247</v>
      </c>
      <c r="D57" s="769" t="s">
        <v>516</v>
      </c>
      <c r="E57" s="1295"/>
      <c r="F57" s="1295"/>
      <c r="G57" s="1295"/>
      <c r="H57" s="1295"/>
      <c r="I57" s="1297"/>
      <c r="J57" s="1296"/>
      <c r="K57" s="769"/>
      <c r="L57" s="770"/>
      <c r="P57" s="1298"/>
      <c r="Q57" s="129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9"/>
      <c r="BE57" s="69"/>
      <c r="BF57" s="69" t="str">
        <f t="shared" si="4"/>
        <v>Добавить строку</v>
      </c>
      <c r="BG57" s="69"/>
      <c r="BH57" s="69"/>
      <c r="BI57" s="11">
        <v>11</v>
      </c>
    </row>
    <row r="58" spans="1:61" s="68" customFormat="1" ht="0" hidden="1" customHeight="1">
      <c r="A58" s="145" t="s">
        <v>245</v>
      </c>
      <c r="B58" s="145" t="s">
        <v>246</v>
      </c>
      <c r="C58" s="145" t="s">
        <v>247</v>
      </c>
      <c r="D58" s="145" t="s">
        <v>516</v>
      </c>
      <c r="E58" s="1295"/>
      <c r="F58" s="1295"/>
      <c r="G58" s="1295"/>
      <c r="H58" s="1295"/>
      <c r="I58" s="1296"/>
      <c r="J58" s="145"/>
      <c r="K58" s="145"/>
      <c r="L58" s="346"/>
      <c r="M58" s="290"/>
      <c r="N58" s="290"/>
      <c r="O58" s="290"/>
      <c r="P58" s="129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516</v>
      </c>
      <c r="E59" s="1295"/>
      <c r="F59" s="1295"/>
      <c r="G59" s="1295"/>
      <c r="H59" s="129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95"/>
      <c r="F60" s="1295"/>
      <c r="G60" s="129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95"/>
      <c r="F61" s="1294"/>
      <c r="G61" s="145"/>
      <c r="H61" s="145"/>
      <c r="I61" s="145"/>
      <c r="J61" s="145"/>
      <c r="K61" s="145"/>
      <c r="L61" s="346"/>
      <c r="M61" s="759"/>
      <c r="N61" s="759"/>
      <c r="P61" s="104"/>
      <c r="Q61" s="755"/>
      <c r="R61" s="104"/>
      <c r="S61" s="760"/>
      <c r="T61" s="762" t="s">
        <v>275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94"/>
      <c r="F62" s="145"/>
      <c r="G62" s="145"/>
      <c r="H62" s="145"/>
      <c r="I62" s="145"/>
      <c r="J62" s="145"/>
      <c r="K62" s="145"/>
      <c r="L62" s="346"/>
      <c r="M62" s="759"/>
      <c r="N62" s="759"/>
      <c r="P62" s="104"/>
      <c r="Q62" s="755"/>
      <c r="R62" s="104"/>
      <c r="S62" s="760"/>
      <c r="T62" s="762" t="s">
        <v>276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19.95" customHeight="1">
      <c r="O65" s="63"/>
      <c r="S65" s="198"/>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3"/>
      <c r="AR65" s="1293"/>
      <c r="AS65" s="1293"/>
      <c r="AT65" s="1293"/>
      <c r="AU65" s="1293"/>
      <c r="AV65" s="1293"/>
      <c r="AW65" s="1293"/>
      <c r="AX65" s="1293"/>
      <c r="AY65" s="1293"/>
      <c r="AZ65" s="1293"/>
      <c r="BA65" s="1293"/>
      <c r="BB65" s="1293"/>
      <c r="BC65" s="1293"/>
      <c r="BI65" s="11">
        <v>19</v>
      </c>
    </row>
    <row r="66" spans="1:61" ht="14.7"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95" customHeight="1">
      <c r="O67" s="63"/>
      <c r="S67" s="198"/>
      <c r="T67" s="1293"/>
      <c r="U67" s="1293"/>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R67" s="1293"/>
      <c r="AS67" s="1293"/>
      <c r="AT67" s="1293"/>
      <c r="AU67" s="1293"/>
      <c r="AV67" s="1293"/>
      <c r="AW67" s="1293"/>
      <c r="AX67" s="1293"/>
      <c r="AY67" s="1293"/>
      <c r="AZ67" s="1293"/>
      <c r="BA67" s="1293"/>
      <c r="BB67" s="1293"/>
      <c r="BC67" s="1293"/>
      <c r="BI67" s="11">
        <v>19</v>
      </c>
    </row>
    <row r="68" spans="1:61" ht="14.7"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hidden="1" customWidth="1"/>
    <col min="36" max="36" width="4" style="11" customWidth="1"/>
    <col min="37" max="37" width="115" style="11" customWidth="1"/>
    <col min="38" max="42" width="10" style="68" customWidth="1"/>
    <col min="43" max="43" width="10.625" style="11" hidden="1"/>
  </cols>
  <sheetData>
    <row r="1" spans="1:43" ht="22.5" hidden="1" customHeight="1">
      <c r="AQ1" s="11" t="s">
        <v>14</v>
      </c>
    </row>
    <row r="2" spans="1:43"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9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90"/>
      <c r="AK3" s="729" t="s">
        <v>402</v>
      </c>
      <c r="AM3" s="69"/>
      <c r="AN3" s="69" t="str">
        <f t="shared" si="0"/>
        <v>Территория действия тарифа</v>
      </c>
      <c r="AO3" s="69"/>
      <c r="AP3" s="69"/>
      <c r="AQ3" s="11">
        <v>0</v>
      </c>
    </row>
    <row r="4" spans="1:43"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517</v>
      </c>
      <c r="U4" s="171"/>
      <c r="V4" s="1288"/>
      <c r="W4" s="1289"/>
      <c r="X4" s="1289"/>
      <c r="Y4" s="1289"/>
      <c r="Z4" s="1289"/>
      <c r="AA4" s="1289"/>
      <c r="AB4" s="1290"/>
      <c r="AC4" s="1288" t="e">
        <f>INDEX(PT_DIFFERENTIATION_CS,MATCH(C4,PT_DIFFERENTIATION_CS_ID,0))</f>
        <v>#N/A</v>
      </c>
      <c r="AD4" s="1289"/>
      <c r="AE4" s="1289"/>
      <c r="AF4" s="1289"/>
      <c r="AG4" s="1289"/>
      <c r="AH4" s="1289"/>
      <c r="AI4" s="1289"/>
      <c r="AJ4" s="129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4"/>
      <c r="AK6" s="753" t="s">
        <v>486</v>
      </c>
      <c r="AM6" s="69"/>
      <c r="AN6" s="69" t="str">
        <f t="shared" si="0"/>
        <v>Группа потребителей</v>
      </c>
      <c r="AO6" s="69"/>
      <c r="AP6" s="69"/>
      <c r="AQ6" s="11">
        <v>0</v>
      </c>
    </row>
    <row r="7" spans="1:43"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813"/>
      <c r="AK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388"/>
      <c r="AK8" s="1368"/>
      <c r="AM8" s="69"/>
      <c r="AN8" s="69" t="str">
        <f t="shared" si="0"/>
        <v/>
      </c>
      <c r="AO8" s="69"/>
      <c r="AP8" s="69"/>
      <c r="AQ8" s="11">
        <v>0</v>
      </c>
    </row>
    <row r="9" spans="1:43"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2"/>
      <c r="AG15" s="1291" t="s">
        <v>67</v>
      </c>
      <c r="AH15" s="1292"/>
      <c r="AI15" s="1291" t="s">
        <v>67</v>
      </c>
      <c r="AQ15" s="11">
        <v>0</v>
      </c>
    </row>
    <row r="16" spans="1:43" ht="14.25" hidden="1" customHeight="1">
      <c r="AC16" s="368"/>
      <c r="AD16" s="368"/>
      <c r="AE16" s="192" t="str">
        <f>AF15&amp;"-"&amp;AH15</f>
        <v>-</v>
      </c>
      <c r="AF16" s="1291"/>
      <c r="AG16" s="1291"/>
      <c r="AH16" s="1291"/>
      <c r="AI16" s="1291"/>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7" customHeight="1">
      <c r="Q23" s="28"/>
      <c r="R23" s="28"/>
      <c r="S23" s="739"/>
      <c r="T23" s="10"/>
      <c r="U23" s="10"/>
      <c r="AQ23" s="11">
        <v>14</v>
      </c>
    </row>
    <row r="24" spans="1:43" ht="14.7" customHeight="1">
      <c r="Q24" s="28"/>
      <c r="R24" s="28"/>
      <c r="S24" s="12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5"/>
      <c r="U24" s="1275"/>
      <c r="V24" s="1275"/>
      <c r="W24" s="1275"/>
      <c r="X24" s="1275"/>
      <c r="Y24" s="1275"/>
      <c r="Z24" s="1275"/>
      <c r="AA24" s="1275"/>
      <c r="AB24" s="1275"/>
      <c r="AC24" s="1275"/>
      <c r="AD24" s="1275"/>
      <c r="AE24" s="1275"/>
      <c r="AF24" s="1275"/>
      <c r="AG24" s="1275"/>
      <c r="AH24" s="1275"/>
      <c r="AI24" s="59"/>
      <c r="AQ24" s="11">
        <v>14</v>
      </c>
    </row>
    <row r="25" spans="1:43"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7" customHeight="1">
      <c r="Q35" s="28"/>
      <c r="R35" s="28"/>
      <c r="S35" s="739"/>
      <c r="T35" s="10"/>
      <c r="U35" s="720"/>
      <c r="V35" s="1306"/>
      <c r="W35" s="1306"/>
      <c r="X35" s="1306"/>
      <c r="Y35" s="1306"/>
      <c r="Z35" s="1306"/>
      <c r="AA35" s="1306"/>
      <c r="AB35" s="1306"/>
      <c r="AC35" s="1306"/>
      <c r="AD35" s="1306"/>
      <c r="AE35" s="1306"/>
      <c r="AF35" s="1306"/>
      <c r="AG35" s="1306"/>
      <c r="AH35" s="1306"/>
      <c r="AI35" s="1306"/>
      <c r="AQ35" s="11">
        <v>14</v>
      </c>
    </row>
    <row r="36" spans="1:43"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t="s">
        <v>305</v>
      </c>
      <c r="AQ36" s="11">
        <v>14</v>
      </c>
    </row>
    <row r="37" spans="1:43"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14" t="s">
        <v>434</v>
      </c>
      <c r="AK37" s="1158"/>
      <c r="AQ37" s="11">
        <v>14</v>
      </c>
    </row>
    <row r="38" spans="1:43"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1315"/>
      <c r="AK38" s="1158"/>
      <c r="AQ38" s="11">
        <v>34</v>
      </c>
    </row>
    <row r="39" spans="1:43" ht="9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519</v>
      </c>
      <c r="W39" s="39" t="s">
        <v>520</v>
      </c>
      <c r="X39" s="39" t="s">
        <v>495</v>
      </c>
      <c r="Y39" s="39" t="s">
        <v>448</v>
      </c>
      <c r="Z39" s="1260" t="s">
        <v>449</v>
      </c>
      <c r="AA39" s="1274"/>
      <c r="AB39" s="1313"/>
      <c r="AC39" s="340" t="s">
        <v>519</v>
      </c>
      <c r="AD39" s="39" t="s">
        <v>520</v>
      </c>
      <c r="AE39" s="39" t="s">
        <v>495</v>
      </c>
      <c r="AF39" s="39" t="s">
        <v>448</v>
      </c>
      <c r="AG39" s="1260" t="s">
        <v>449</v>
      </c>
      <c r="AH39" s="1274"/>
      <c r="AI39" s="1313"/>
      <c r="AJ39" s="1316"/>
      <c r="AK39" s="1158"/>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88"/>
      <c r="W41" s="1289"/>
      <c r="X41" s="1289"/>
      <c r="Y41" s="1289"/>
      <c r="Z41" s="1289"/>
      <c r="AA41" s="1289"/>
      <c r="AB41" s="1290"/>
      <c r="AC41" s="1288" t="str">
        <f>INDEX(PT_DIFFERENTIATION_NTAR,MATCH(A41,PT_DIFFERENTIATION_NTAR_ID,0))</f>
        <v/>
      </c>
      <c r="AD41" s="1289"/>
      <c r="AE41" s="1289"/>
      <c r="AF41" s="1289"/>
      <c r="AG41" s="1289"/>
      <c r="AH41" s="1289"/>
      <c r="AI41" s="1289"/>
      <c r="AJ41" s="129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88"/>
      <c r="W42" s="1289"/>
      <c r="X42" s="1289"/>
      <c r="Y42" s="1289"/>
      <c r="Z42" s="1289"/>
      <c r="AA42" s="1289"/>
      <c r="AB42" s="1290"/>
      <c r="AC42" s="1288" t="str">
        <f>INDEX(PT_DIFFERENTIATION_TER,MATCH(B42,PT_DIFFERENTIATION_TER_ID,0))</f>
        <v/>
      </c>
      <c r="AD42" s="1289"/>
      <c r="AE42" s="1289"/>
      <c r="AF42" s="1289"/>
      <c r="AG42" s="1289"/>
      <c r="AH42" s="1289"/>
      <c r="AI42" s="1289"/>
      <c r="AJ42" s="1290"/>
      <c r="AK42" s="729" t="s">
        <v>402</v>
      </c>
      <c r="AM42" s="69"/>
      <c r="AN42" s="69" t="str">
        <f t="shared" si="1"/>
        <v>Территория действия тарифа</v>
      </c>
      <c r="AO42" s="69"/>
      <c r="AP42" s="69"/>
      <c r="AQ42" s="11">
        <v>23</v>
      </c>
    </row>
    <row r="43" spans="1:43" ht="24" customHeight="1">
      <c r="A43" s="769" t="s">
        <v>265</v>
      </c>
      <c r="B43" s="769" t="s">
        <v>266</v>
      </c>
      <c r="C43" s="769" t="s">
        <v>267</v>
      </c>
      <c r="D43" s="769"/>
      <c r="E43" s="1295"/>
      <c r="F43" s="1295"/>
      <c r="G43" s="1294">
        <v>1</v>
      </c>
      <c r="H43" s="769"/>
      <c r="I43" s="769"/>
      <c r="J43" s="769"/>
      <c r="K43" s="769"/>
      <c r="L43" s="770"/>
      <c r="M43" s="426"/>
      <c r="N43" s="426"/>
      <c r="O43" s="426"/>
      <c r="P43" s="206"/>
      <c r="Q43" s="204"/>
      <c r="R43" s="205"/>
      <c r="S43" s="709" t="str">
        <f>INDEX(PT_DIFFERENTIATION_NUM_CS,MATCH(C43,PT_DIFFERENTIATION_CS_ID,0))</f>
        <v>..</v>
      </c>
      <c r="T43" s="178" t="s">
        <v>517</v>
      </c>
      <c r="U43" s="171"/>
      <c r="V43" s="1288"/>
      <c r="W43" s="1289"/>
      <c r="X43" s="1289"/>
      <c r="Y43" s="1289"/>
      <c r="Z43" s="1289"/>
      <c r="AA43" s="1289"/>
      <c r="AB43" s="1290"/>
      <c r="AC43" s="1288" t="str">
        <f>INDEX(PT_DIFFERENTIATION_CS,MATCH(C43,PT_DIFFERENTIATION_CS_ID,0))</f>
        <v/>
      </c>
      <c r="AD43" s="1289"/>
      <c r="AE43" s="1289"/>
      <c r="AF43" s="1289"/>
      <c r="AG43" s="1289"/>
      <c r="AH43" s="1289"/>
      <c r="AI43" s="1289"/>
      <c r="AJ43" s="1290"/>
      <c r="AK43" s="729" t="s">
        <v>518</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521</v>
      </c>
      <c r="E44" s="1295"/>
      <c r="F44" s="1295"/>
      <c r="G44" s="1295"/>
      <c r="H44" s="1295"/>
      <c r="I44" s="1296" t="str">
        <f>S43&amp;".1"</f>
        <v>...1</v>
      </c>
      <c r="J44" s="769"/>
      <c r="K44" s="769"/>
      <c r="L44" s="770"/>
      <c r="P44" s="1298">
        <v>1</v>
      </c>
      <c r="Q44" s="122"/>
      <c r="R44" s="208"/>
      <c r="S44" s="709" t="str">
        <f>$I44</f>
        <v>...1</v>
      </c>
      <c r="T44" s="164" t="s">
        <v>484</v>
      </c>
      <c r="U44" s="171"/>
      <c r="V44" s="1362"/>
      <c r="W44" s="1363"/>
      <c r="X44" s="1363"/>
      <c r="Y44" s="1363"/>
      <c r="Z44" s="1363"/>
      <c r="AA44" s="1363"/>
      <c r="AB44" s="1364"/>
      <c r="AC44" s="1365"/>
      <c r="AD44" s="1366"/>
      <c r="AE44" s="1366"/>
      <c r="AF44" s="1366"/>
      <c r="AG44" s="1366"/>
      <c r="AH44" s="1366"/>
      <c r="AI44" s="1366"/>
      <c r="AJ44" s="1367"/>
      <c r="AK44" s="729" t="s">
        <v>485</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521</v>
      </c>
      <c r="E45" s="1295"/>
      <c r="F45" s="1295"/>
      <c r="G45" s="1295"/>
      <c r="H45" s="1295"/>
      <c r="I45" s="1297"/>
      <c r="J45" s="1296" t="str">
        <f>I44&amp;".1"</f>
        <v>...1.1</v>
      </c>
      <c r="K45" s="769"/>
      <c r="L45" s="770" t="s">
        <v>410</v>
      </c>
      <c r="P45" s="1298"/>
      <c r="Q45" s="1298">
        <v>1</v>
      </c>
      <c r="R45" s="209"/>
      <c r="S45" s="709" t="str">
        <f>$J45</f>
        <v>...1.1</v>
      </c>
      <c r="T45" s="165" t="s">
        <v>411</v>
      </c>
      <c r="U45" s="171"/>
      <c r="V45" s="1282"/>
      <c r="W45" s="1283"/>
      <c r="X45" s="1283"/>
      <c r="Y45" s="1283"/>
      <c r="Z45" s="1283"/>
      <c r="AA45" s="1283"/>
      <c r="AB45" s="1284"/>
      <c r="AC45" s="1282"/>
      <c r="AD45" s="1283"/>
      <c r="AE45" s="1283"/>
      <c r="AF45" s="1283"/>
      <c r="AG45" s="1283"/>
      <c r="AH45" s="1283"/>
      <c r="AI45" s="1283"/>
      <c r="AJ45" s="1284"/>
      <c r="AK45" s="753" t="s">
        <v>486</v>
      </c>
      <c r="AM45" s="69"/>
      <c r="AN45" s="69" t="str">
        <f t="shared" si="1"/>
        <v>Группа потребителей</v>
      </c>
      <c r="AO45" s="69"/>
      <c r="AP45" s="69"/>
      <c r="AQ45" s="11">
        <v>23</v>
      </c>
    </row>
    <row r="46" spans="1:43" ht="24" customHeight="1">
      <c r="A46" s="769" t="s">
        <v>265</v>
      </c>
      <c r="B46" s="769" t="s">
        <v>266</v>
      </c>
      <c r="C46" s="769" t="s">
        <v>267</v>
      </c>
      <c r="D46" s="769" t="s">
        <v>521</v>
      </c>
      <c r="E46" s="1295"/>
      <c r="F46" s="1295"/>
      <c r="G46" s="1295"/>
      <c r="H46" s="1295"/>
      <c r="I46" s="1297"/>
      <c r="J46" s="1297"/>
      <c r="K46" s="1296" t="str">
        <f>J45&amp;".1"</f>
        <v>...1.1.1</v>
      </c>
      <c r="L46" s="770"/>
      <c r="P46" s="1298"/>
      <c r="Q46" s="1298"/>
      <c r="R46" s="209">
        <v>1</v>
      </c>
      <c r="S46" s="709" t="str">
        <f>$K46</f>
        <v>...1.1.1</v>
      </c>
      <c r="T46" s="812"/>
      <c r="U46" s="171"/>
      <c r="V46" s="368"/>
      <c r="W46" s="368"/>
      <c r="X46" s="768"/>
      <c r="Y46" s="1292"/>
      <c r="Z46" s="1291" t="s">
        <v>67</v>
      </c>
      <c r="AA46" s="1292"/>
      <c r="AB46" s="1291" t="s">
        <v>67</v>
      </c>
      <c r="AC46" s="306"/>
      <c r="AD46" s="306"/>
      <c r="AE46" s="728"/>
      <c r="AF46" s="1299"/>
      <c r="AG46" s="1168" t="s">
        <v>67</v>
      </c>
      <c r="AH46" s="1301"/>
      <c r="AI46" s="1168" t="s">
        <v>19</v>
      </c>
      <c r="AJ46" s="813"/>
      <c r="AK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521</v>
      </c>
      <c r="E47" s="1295"/>
      <c r="F47" s="1295"/>
      <c r="G47" s="1295"/>
      <c r="H47" s="1295"/>
      <c r="I47" s="1297"/>
      <c r="J47" s="1297"/>
      <c r="K47" s="1296"/>
      <c r="L47" s="770"/>
      <c r="P47" s="1298"/>
      <c r="Q47" s="1298"/>
      <c r="R47" s="209"/>
      <c r="S47" s="65"/>
      <c r="T47" s="171"/>
      <c r="U47" s="171"/>
      <c r="V47" s="368"/>
      <c r="W47" s="368"/>
      <c r="X47" s="192" t="str">
        <f>Y46&amp;"-"&amp;AA46</f>
        <v>-</v>
      </c>
      <c r="Y47" s="1291"/>
      <c r="Z47" s="1291"/>
      <c r="AA47" s="1291"/>
      <c r="AB47" s="1291"/>
      <c r="AC47" s="191"/>
      <c r="AD47" s="191"/>
      <c r="AE47" s="192" t="str">
        <f>AF46&amp;"-"&amp;AH46</f>
        <v>-</v>
      </c>
      <c r="AF47" s="1300"/>
      <c r="AG47" s="1168"/>
      <c r="AH47" s="1302"/>
      <c r="AI47" s="1168"/>
      <c r="AJ47" s="388"/>
      <c r="AK47" s="1368"/>
      <c r="AM47" s="69"/>
      <c r="AN47" s="69" t="str">
        <f t="shared" si="1"/>
        <v/>
      </c>
      <c r="AO47" s="69"/>
      <c r="AP47" s="69"/>
      <c r="AQ47" s="11">
        <v>0</v>
      </c>
    </row>
    <row r="48" spans="1:43" ht="21" customHeight="1">
      <c r="A48" s="769" t="s">
        <v>265</v>
      </c>
      <c r="B48" s="769" t="s">
        <v>266</v>
      </c>
      <c r="C48" s="769" t="s">
        <v>267</v>
      </c>
      <c r="D48" s="769" t="s">
        <v>521</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2.05" customHeight="1">
      <c r="A49" s="769" t="s">
        <v>265</v>
      </c>
      <c r="B49" s="769" t="s">
        <v>266</v>
      </c>
      <c r="C49" s="769" t="s">
        <v>267</v>
      </c>
      <c r="D49" s="769" t="s">
        <v>521</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265</v>
      </c>
      <c r="B50" s="769" t="s">
        <v>266</v>
      </c>
      <c r="C50" s="769" t="s">
        <v>267</v>
      </c>
      <c r="D50" s="769" t="s">
        <v>521</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Q55" s="11">
        <v>14</v>
      </c>
    </row>
    <row r="56" spans="1:43" ht="14.7" customHeight="1">
      <c r="O56" s="63"/>
      <c r="AQ56" s="11">
        <v>14</v>
      </c>
    </row>
    <row r="57" spans="1:43"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X58"/>
  <sheetViews>
    <sheetView showGridLines="0" tabSelected="1" topLeftCell="P23" zoomScale="90" workbookViewId="0">
      <selection activeCell="AO46" sqref="AO46:AO47"/>
    </sheetView>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4" width="24.75" style="11" hidden="1" customWidth="1"/>
    <col min="25" max="25" width="11.75" style="11" hidden="1" customWidth="1"/>
    <col min="26" max="26" width="3.75" style="11" hidden="1" customWidth="1"/>
    <col min="27" max="27" width="11.75" style="11" hidden="1" customWidth="1"/>
    <col min="28" max="28" width="8.625" style="11" hidden="1" customWidth="1"/>
    <col min="29" max="29" width="24.75" style="11" customWidth="1"/>
    <col min="30" max="31" width="24" style="11" customWidth="1"/>
    <col min="32" max="32" width="11" style="11" customWidth="1"/>
    <col min="33" max="33" width="3.75" style="11" customWidth="1"/>
    <col min="34" max="34" width="11" style="11" customWidth="1"/>
    <col min="35" max="35" width="8.625" style="11" customWidth="1"/>
    <col min="41" max="41" width="12.75" style="2" customWidth="1"/>
    <col min="42" max="42" width="10.625" style="2" hidden="1"/>
    <col min="43" max="43" width="4" style="11" customWidth="1"/>
    <col min="44" max="44" width="115" style="11" customWidth="1"/>
    <col min="45" max="49" width="10" style="68" customWidth="1"/>
    <col min="50" max="50" width="10.625" style="11" hidden="1"/>
  </cols>
  <sheetData>
    <row r="1" spans="1:50" ht="22.5" hidden="1" customHeight="1">
      <c r="AJ1" s="11"/>
      <c r="AK1" s="11"/>
      <c r="AL1" s="11"/>
      <c r="AM1" s="11"/>
      <c r="AN1" s="11"/>
      <c r="AO1" s="1110"/>
      <c r="AP1" s="1110"/>
      <c r="AX1" s="11" t="s">
        <v>14</v>
      </c>
    </row>
    <row r="2" spans="1:50"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90"/>
      <c r="AC2" s="1288" t="e">
        <f>INDEX(PT_DIFFERENTIATION_NTAR,MATCH(A2,PT_DIFFERENTIATION_NTAR_ID,0))</f>
        <v>#N/A</v>
      </c>
      <c r="AD2" s="1289"/>
      <c r="AE2" s="1289"/>
      <c r="AF2" s="1289"/>
      <c r="AG2" s="1289"/>
      <c r="AH2" s="1289"/>
      <c r="AI2" s="1289"/>
      <c r="AJ2" s="1288"/>
      <c r="AK2" s="1289"/>
      <c r="AL2" s="1289"/>
      <c r="AM2" s="1289"/>
      <c r="AN2" s="1289"/>
      <c r="AO2" s="1379"/>
      <c r="AP2" s="1380"/>
      <c r="AQ2" s="1290"/>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90"/>
      <c r="AC3" s="1288" t="e">
        <f>INDEX(PT_DIFFERENTIATION_TER,MATCH(B3,PT_DIFFERENTIATION_TER_ID,0))</f>
        <v>#N/A</v>
      </c>
      <c r="AD3" s="1289"/>
      <c r="AE3" s="1289"/>
      <c r="AF3" s="1289"/>
      <c r="AG3" s="1289"/>
      <c r="AH3" s="1289"/>
      <c r="AI3" s="1289"/>
      <c r="AJ3" s="1288"/>
      <c r="AK3" s="1289"/>
      <c r="AL3" s="1289"/>
      <c r="AM3" s="1289"/>
      <c r="AN3" s="1289"/>
      <c r="AO3" s="1379"/>
      <c r="AP3" s="1380"/>
      <c r="AQ3" s="1290"/>
      <c r="AR3" s="729" t="s">
        <v>402</v>
      </c>
      <c r="AT3" s="69"/>
      <c r="AU3" s="69" t="str">
        <f t="shared" si="0"/>
        <v>Территория действия тарифа</v>
      </c>
      <c r="AV3" s="69"/>
      <c r="AW3" s="69"/>
      <c r="AX3" s="11">
        <v>0</v>
      </c>
    </row>
    <row r="4" spans="1:50"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517</v>
      </c>
      <c r="U4" s="171"/>
      <c r="V4" s="1288"/>
      <c r="W4" s="1289"/>
      <c r="X4" s="1289"/>
      <c r="Y4" s="1289"/>
      <c r="Z4" s="1289"/>
      <c r="AA4" s="1289"/>
      <c r="AB4" s="1290"/>
      <c r="AC4" s="1288" t="e">
        <f>INDEX(PT_DIFFERENTIATION_CS,MATCH(C4,PT_DIFFERENTIATION_CS_ID,0))</f>
        <v>#N/A</v>
      </c>
      <c r="AD4" s="1289"/>
      <c r="AE4" s="1289"/>
      <c r="AF4" s="1289"/>
      <c r="AG4" s="1289"/>
      <c r="AH4" s="1289"/>
      <c r="AI4" s="1289"/>
      <c r="AJ4" s="1288"/>
      <c r="AK4" s="1289"/>
      <c r="AL4" s="1289"/>
      <c r="AM4" s="1289"/>
      <c r="AN4" s="1289"/>
      <c r="AO4" s="1379"/>
      <c r="AP4" s="1380"/>
      <c r="AQ4" s="1290"/>
      <c r="AR4" s="729" t="s">
        <v>518</v>
      </c>
      <c r="AT4" s="69"/>
      <c r="AU4" s="69" t="str">
        <f t="shared" si="0"/>
        <v>Наименование централизованной системы водоотведения</v>
      </c>
      <c r="AV4" s="69"/>
      <c r="AW4" s="69"/>
      <c r="AX4" s="11">
        <v>0</v>
      </c>
    </row>
    <row r="5" spans="1:50"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4"/>
      <c r="AC5" s="1365"/>
      <c r="AD5" s="1366"/>
      <c r="AE5" s="1366"/>
      <c r="AF5" s="1366"/>
      <c r="AG5" s="1366"/>
      <c r="AH5" s="1366"/>
      <c r="AI5" s="1366"/>
      <c r="AJ5" s="1362"/>
      <c r="AK5" s="1363"/>
      <c r="AL5" s="1363"/>
      <c r="AM5" s="1363"/>
      <c r="AN5" s="1363"/>
      <c r="AO5" s="1381"/>
      <c r="AP5" s="1382"/>
      <c r="AQ5" s="1367"/>
      <c r="AR5" s="729" t="s">
        <v>485</v>
      </c>
      <c r="AT5" s="69"/>
      <c r="AU5" s="69" t="str">
        <f t="shared" si="0"/>
        <v>Наименование признака дифференциации</v>
      </c>
      <c r="AV5" s="69"/>
      <c r="AW5" s="69"/>
      <c r="AX5" s="11">
        <v>0</v>
      </c>
    </row>
    <row r="6" spans="1:50"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4"/>
      <c r="AC6" s="1282"/>
      <c r="AD6" s="1283"/>
      <c r="AE6" s="1283"/>
      <c r="AF6" s="1283"/>
      <c r="AG6" s="1283"/>
      <c r="AH6" s="1283"/>
      <c r="AI6" s="1283"/>
      <c r="AJ6" s="1282"/>
      <c r="AK6" s="1283"/>
      <c r="AL6" s="1283"/>
      <c r="AM6" s="1283"/>
      <c r="AN6" s="1283"/>
      <c r="AO6" s="1383"/>
      <c r="AP6" s="1384"/>
      <c r="AQ6" s="1284"/>
      <c r="AR6" s="753" t="s">
        <v>486</v>
      </c>
      <c r="AT6" s="69"/>
      <c r="AU6" s="69" t="str">
        <f t="shared" si="0"/>
        <v>Группа потребителей</v>
      </c>
      <c r="AV6" s="69"/>
      <c r="AW6" s="69"/>
      <c r="AX6" s="11">
        <v>0</v>
      </c>
    </row>
    <row r="7" spans="1:50"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728"/>
      <c r="Y7" s="1299"/>
      <c r="Z7" s="1168" t="s">
        <v>67</v>
      </c>
      <c r="AA7" s="1299"/>
      <c r="AB7" s="1168" t="s">
        <v>67</v>
      </c>
      <c r="AC7" s="306"/>
      <c r="AD7" s="306"/>
      <c r="AE7" s="728"/>
      <c r="AF7" s="1299"/>
      <c r="AG7" s="1168" t="s">
        <v>67</v>
      </c>
      <c r="AH7" s="1301"/>
      <c r="AI7" s="1168" t="s">
        <v>67</v>
      </c>
      <c r="AJ7" s="306"/>
      <c r="AK7" s="306"/>
      <c r="AL7" s="728"/>
      <c r="AM7" s="1299"/>
      <c r="AN7" s="1168" t="s">
        <v>67</v>
      </c>
      <c r="AO7" s="1387"/>
      <c r="AP7" s="1389" t="s">
        <v>67</v>
      </c>
      <c r="AQ7" s="813"/>
      <c r="AR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295"/>
      <c r="F8" s="1295"/>
      <c r="G8" s="1295"/>
      <c r="H8" s="1295"/>
      <c r="I8" s="1297"/>
      <c r="J8" s="1297"/>
      <c r="K8" s="1296"/>
      <c r="L8" s="770"/>
      <c r="P8" s="1298"/>
      <c r="Q8" s="1298"/>
      <c r="R8" s="209"/>
      <c r="S8" s="65"/>
      <c r="T8" s="171"/>
      <c r="U8" s="171"/>
      <c r="V8" s="191"/>
      <c r="W8" s="191"/>
      <c r="X8" s="192" t="str">
        <f>Y7&amp;"-"&amp;AA7</f>
        <v>-</v>
      </c>
      <c r="Y8" s="1300"/>
      <c r="Z8" s="1168"/>
      <c r="AA8" s="1300"/>
      <c r="AB8" s="1168"/>
      <c r="AC8" s="191"/>
      <c r="AD8" s="191"/>
      <c r="AE8" s="192" t="str">
        <f>AF7&amp;"-"&amp;AH7</f>
        <v>-</v>
      </c>
      <c r="AF8" s="1300"/>
      <c r="AG8" s="1168"/>
      <c r="AH8" s="1302"/>
      <c r="AI8" s="1168"/>
      <c r="AJ8" s="191"/>
      <c r="AK8" s="191"/>
      <c r="AL8" s="192" t="str">
        <f>AM7&amp;"-"&amp;AO7</f>
        <v>-</v>
      </c>
      <c r="AM8" s="1300"/>
      <c r="AN8" s="1168"/>
      <c r="AO8" s="1388"/>
      <c r="AP8" s="1168"/>
      <c r="AQ8" s="388"/>
      <c r="AR8" s="1368"/>
      <c r="AT8" s="69"/>
      <c r="AU8" s="69" t="str">
        <f t="shared" si="0"/>
        <v/>
      </c>
      <c r="AV8" s="69"/>
      <c r="AW8" s="69"/>
      <c r="AX8" s="11">
        <v>0</v>
      </c>
    </row>
    <row r="9" spans="1:50"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1111"/>
      <c r="AP9" s="1111"/>
      <c r="AQ9" s="213"/>
      <c r="AR9" s="729" t="s">
        <v>488</v>
      </c>
      <c r="AT9" s="69"/>
      <c r="AU9" s="69" t="str">
        <f t="shared" si="0"/>
        <v>Добавить значение признака дифференциации</v>
      </c>
      <c r="AV9" s="69"/>
      <c r="AW9" s="69"/>
      <c r="AX9" s="11">
        <v>0</v>
      </c>
    </row>
    <row r="10" spans="1:50"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2"/>
      <c r="AC10" s="213"/>
      <c r="AD10" s="213"/>
      <c r="AE10" s="213"/>
      <c r="AF10" s="213"/>
      <c r="AG10" s="213"/>
      <c r="AH10" s="213"/>
      <c r="AI10" s="212"/>
      <c r="AJ10" s="213"/>
      <c r="AK10" s="213"/>
      <c r="AL10" s="213"/>
      <c r="AM10" s="213"/>
      <c r="AN10" s="213"/>
      <c r="AO10" s="1111"/>
      <c r="AP10" s="1112"/>
      <c r="AQ10" s="213"/>
      <c r="AR10" s="814"/>
      <c r="AT10" s="69"/>
      <c r="AU10" s="69" t="str">
        <f t="shared" si="0"/>
        <v>Добавить группу потребителей</v>
      </c>
      <c r="AV10" s="69"/>
      <c r="AW10" s="69"/>
      <c r="AX10" s="11">
        <v>0</v>
      </c>
    </row>
    <row r="11" spans="1:50"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213"/>
      <c r="AL11" s="213"/>
      <c r="AM11" s="213"/>
      <c r="AN11" s="213"/>
      <c r="AO11" s="1111"/>
      <c r="AP11" s="1112"/>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L12" s="313"/>
      <c r="AM12" s="313"/>
      <c r="AN12" s="313"/>
      <c r="AO12" s="1113"/>
      <c r="AP12" s="1113"/>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L13" s="313"/>
      <c r="AM13" s="313"/>
      <c r="AN13" s="313"/>
      <c r="AO13" s="1113"/>
      <c r="AP13" s="1113"/>
      <c r="AQ13" s="313"/>
      <c r="AR13" s="313"/>
      <c r="AT13" s="69"/>
      <c r="AU13" s="69" t="str">
        <f t="shared" si="0"/>
        <v>Добавить территорию для дифференциации</v>
      </c>
      <c r="AV13" s="69"/>
      <c r="AW13" s="69"/>
      <c r="AX13" s="68">
        <v>0</v>
      </c>
    </row>
    <row r="14" spans="1:50" ht="14.25" hidden="1" customHeight="1">
      <c r="AJ14" s="11"/>
      <c r="AK14" s="11"/>
      <c r="AL14" s="11"/>
      <c r="AM14" s="11"/>
      <c r="AN14" s="11"/>
      <c r="AO14" s="1110"/>
      <c r="AP14" s="1110"/>
      <c r="AX14" s="11">
        <v>0</v>
      </c>
    </row>
    <row r="15" spans="1:50" ht="14.25" hidden="1" customHeight="1">
      <c r="AC15" s="368"/>
      <c r="AD15" s="368"/>
      <c r="AE15" s="768"/>
      <c r="AF15" s="1292"/>
      <c r="AG15" s="1291" t="s">
        <v>67</v>
      </c>
      <c r="AH15" s="1292"/>
      <c r="AI15" s="1291" t="s">
        <v>67</v>
      </c>
      <c r="AJ15" s="11"/>
      <c r="AK15" s="11"/>
      <c r="AL15" s="11"/>
      <c r="AM15" s="11"/>
      <c r="AN15" s="11"/>
      <c r="AO15" s="1110"/>
      <c r="AP15" s="1110"/>
      <c r="AX15" s="11">
        <v>0</v>
      </c>
    </row>
    <row r="16" spans="1:50" ht="14.25" hidden="1" customHeight="1">
      <c r="AC16" s="368"/>
      <c r="AD16" s="368"/>
      <c r="AE16" s="192" t="str">
        <f>AF15&amp;"-"&amp;AH15</f>
        <v>-</v>
      </c>
      <c r="AF16" s="1291"/>
      <c r="AG16" s="1291"/>
      <c r="AH16" s="1291"/>
      <c r="AI16" s="1291"/>
      <c r="AJ16" s="11"/>
      <c r="AK16" s="11"/>
      <c r="AL16" s="11"/>
      <c r="AM16" s="11"/>
      <c r="AN16" s="11"/>
      <c r="AO16" s="1110"/>
      <c r="AP16" s="1110"/>
      <c r="AX16" s="11">
        <v>0</v>
      </c>
    </row>
    <row r="17" spans="1:50" ht="14.25" hidden="1" customHeight="1">
      <c r="AJ17" s="11"/>
      <c r="AK17" s="11"/>
      <c r="AL17" s="11"/>
      <c r="AM17" s="11"/>
      <c r="AN17" s="11"/>
      <c r="AO17" s="1110"/>
      <c r="AP17" s="1110"/>
      <c r="AX17" s="11">
        <v>0</v>
      </c>
    </row>
    <row r="18" spans="1:50" s="63" customFormat="1" ht="22.5" hidden="1" customHeight="1">
      <c r="L18" s="301"/>
      <c r="M18" s="506"/>
      <c r="N18" s="506"/>
      <c r="O18" s="771" t="s">
        <v>419</v>
      </c>
      <c r="P18" s="506"/>
      <c r="Q18" s="772"/>
      <c r="R18" s="772"/>
      <c r="S18" s="426"/>
      <c r="Y18" s="771"/>
      <c r="AA18" s="771"/>
      <c r="AF18" s="771"/>
      <c r="AH18" s="771"/>
      <c r="AM18" s="771"/>
      <c r="AO18" s="1114"/>
      <c r="AP18" s="1115"/>
      <c r="AS18" s="68"/>
      <c r="AT18" s="68"/>
      <c r="AU18" s="68"/>
      <c r="AV18" s="68"/>
      <c r="AW18" s="68"/>
      <c r="AX18" s="63">
        <v>0</v>
      </c>
    </row>
    <row r="19" spans="1:50" s="63" customFormat="1" ht="14.25" hidden="1" customHeight="1">
      <c r="L19" s="301"/>
      <c r="M19" s="506"/>
      <c r="N19" s="506"/>
      <c r="O19" s="506"/>
      <c r="P19" s="506"/>
      <c r="Q19" s="772"/>
      <c r="R19" s="772"/>
      <c r="S19" s="426"/>
      <c r="AO19" s="1115"/>
      <c r="AP19" s="1115"/>
      <c r="AS19" s="68"/>
      <c r="AT19" s="68"/>
      <c r="AU19" s="68"/>
      <c r="AV19" s="68"/>
      <c r="AW19" s="68"/>
      <c r="AX19" s="63">
        <v>0</v>
      </c>
    </row>
    <row r="20" spans="1:50"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N20" s="82" t="s">
        <v>422</v>
      </c>
      <c r="AO20" s="1115"/>
      <c r="AP20" s="1116" t="s">
        <v>423</v>
      </c>
      <c r="AX20" s="63">
        <v>0</v>
      </c>
    </row>
    <row r="21" spans="1:50" ht="14.25" hidden="1" customHeight="1">
      <c r="O21" s="770"/>
      <c r="AJ21" s="11"/>
      <c r="AK21" s="11"/>
      <c r="AL21" s="11"/>
      <c r="AM21" s="11"/>
      <c r="AN21" s="11"/>
      <c r="AO21" s="1110"/>
      <c r="AP21" s="1110"/>
      <c r="AX21" s="11">
        <v>0</v>
      </c>
    </row>
    <row r="22" spans="1:50" ht="14.25" hidden="1" customHeight="1">
      <c r="O22" s="770"/>
      <c r="AJ22" s="11"/>
      <c r="AK22" s="11"/>
      <c r="AL22" s="11"/>
      <c r="AM22" s="11"/>
      <c r="AN22" s="11"/>
      <c r="AO22" s="1110"/>
      <c r="AP22" s="1110"/>
      <c r="AX22" s="11">
        <v>0</v>
      </c>
    </row>
    <row r="23" spans="1:50" ht="14.7" customHeight="1">
      <c r="Q23" s="28"/>
      <c r="R23" s="28"/>
      <c r="S23" s="739"/>
      <c r="T23" s="10"/>
      <c r="U23" s="10"/>
      <c r="AJ23" s="11"/>
      <c r="AK23" s="11"/>
      <c r="AL23" s="11"/>
      <c r="AM23" s="11"/>
      <c r="AN23" s="11"/>
      <c r="AO23" s="1110"/>
      <c r="AP23" s="1110"/>
      <c r="AX23" s="11">
        <v>14</v>
      </c>
    </row>
    <row r="24" spans="1:50" ht="14.7" customHeight="1">
      <c r="Q24" s="28"/>
      <c r="R24" s="28"/>
      <c r="S24" s="127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5"/>
      <c r="U24" s="1275"/>
      <c r="V24" s="1275"/>
      <c r="W24" s="1275"/>
      <c r="X24" s="1275"/>
      <c r="Y24" s="1275"/>
      <c r="Z24" s="1275"/>
      <c r="AA24" s="1275"/>
      <c r="AB24" s="1275"/>
      <c r="AC24" s="1275"/>
      <c r="AD24" s="1275"/>
      <c r="AE24" s="1275"/>
      <c r="AF24" s="1275"/>
      <c r="AG24" s="1275"/>
      <c r="AH24" s="1275"/>
      <c r="AI24" s="59"/>
      <c r="AJ24" s="1097"/>
      <c r="AK24" s="1097"/>
      <c r="AL24" s="1097"/>
      <c r="AM24" s="1097"/>
      <c r="AN24" s="1097"/>
      <c r="AO24" s="1117"/>
      <c r="AP24" s="1117"/>
      <c r="AX24" s="11">
        <v>14</v>
      </c>
    </row>
    <row r="25" spans="1:50"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59"/>
      <c r="AJ25" s="1096"/>
      <c r="AK25" s="1096"/>
      <c r="AL25" s="1096"/>
      <c r="AM25" s="1096"/>
      <c r="AN25" s="1096"/>
      <c r="AO25" s="1118"/>
      <c r="AP25" s="1118"/>
      <c r="AX25" s="11">
        <v>14</v>
      </c>
    </row>
    <row r="26" spans="1:50"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119"/>
      <c r="AP26" s="1119"/>
      <c r="AX26" s="11">
        <v>0</v>
      </c>
    </row>
    <row r="27" spans="1:50"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1"/>
      <c r="AC27" s="1287" t="str">
        <f>IF(TITLE_NAME_OR_PR_CHANGE="",IF(TITLE_NAME_OR_PR="","",TITLE_NAME_OR_PR),TITLE_NAME_OR_PR_CHANGE)</f>
        <v>Региональная служба по тарифам Ханты-Мансийского автономного округа – Югры (РСТ Югры)</v>
      </c>
      <c r="AD27" s="1287"/>
      <c r="AE27" s="1287"/>
      <c r="AF27" s="1287"/>
      <c r="AG27" s="1287"/>
      <c r="AH27" s="1287"/>
      <c r="AI27" s="11"/>
      <c r="AJ27" s="1287" t="str">
        <f>IF(TITLE_NAME_OR_PR_CHANGE="",IF(TITLE_NAME_OR_PR="","",TITLE_NAME_OR_PR),TITLE_NAME_OR_PR_CHANGE)</f>
        <v>Региональная служба по тарифам Ханты-Мансийского автономного округа – Югры (РСТ Югры)</v>
      </c>
      <c r="AK27" s="1287"/>
      <c r="AL27" s="1287"/>
      <c r="AM27" s="1287"/>
      <c r="AN27" s="1287"/>
      <c r="AO27" s="1390"/>
      <c r="AP27" s="1110"/>
      <c r="AQ27" s="11"/>
      <c r="AR27" s="163"/>
      <c r="AS27" s="69"/>
      <c r="AT27" s="69"/>
      <c r="AU27" s="69"/>
      <c r="AV27" s="69"/>
      <c r="AW27" s="69"/>
      <c r="AX27" s="35">
        <v>0</v>
      </c>
    </row>
    <row r="28" spans="1:50"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1"/>
      <c r="AC28" s="1286">
        <f>IF(TITLE_DATE_PR_CHANGE="",IF(TITLE_DATE_PR="","",TITLE_DATE_PR),TITLE_DATE_PR_CHANGE)</f>
        <v>45999</v>
      </c>
      <c r="AD28" s="1286"/>
      <c r="AE28" s="1286"/>
      <c r="AF28" s="1286"/>
      <c r="AG28" s="1286"/>
      <c r="AH28" s="1286"/>
      <c r="AI28" s="11"/>
      <c r="AJ28" s="1286">
        <f>IF(TITLE_DATE_PR_CHANGE="",IF(TITLE_DATE_PR="","",TITLE_DATE_PR),TITLE_DATE_PR_CHANGE)</f>
        <v>45999</v>
      </c>
      <c r="AK28" s="1286"/>
      <c r="AL28" s="1286"/>
      <c r="AM28" s="1286"/>
      <c r="AN28" s="1286"/>
      <c r="AO28" s="1391"/>
      <c r="AP28" s="1110"/>
      <c r="AQ28" s="11"/>
      <c r="AR28" s="163"/>
      <c r="AS28" s="69"/>
      <c r="AT28" s="69"/>
      <c r="AU28" s="69"/>
      <c r="AV28" s="69"/>
      <c r="AW28" s="69"/>
      <c r="AX28" s="35">
        <v>0</v>
      </c>
    </row>
    <row r="29" spans="1:50"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1"/>
      <c r="AC29" s="1287" t="str">
        <f>IF(TITLE_NUMBER_PR_CHANGE="",IF(TITLE_NUMBER_PR="","",TITLE_NUMBER_PR),TITLE_NUMBER_PR_CHANGE)</f>
        <v>94-нп</v>
      </c>
      <c r="AD29" s="1287"/>
      <c r="AE29" s="1287"/>
      <c r="AF29" s="1287"/>
      <c r="AG29" s="1287"/>
      <c r="AH29" s="1287"/>
      <c r="AI29" s="11"/>
      <c r="AJ29" s="1287" t="str">
        <f>IF(TITLE_NUMBER_PR_CHANGE="",IF(TITLE_NUMBER_PR="","",TITLE_NUMBER_PR),TITLE_NUMBER_PR_CHANGE)</f>
        <v>94-нп</v>
      </c>
      <c r="AK29" s="1287"/>
      <c r="AL29" s="1287"/>
      <c r="AM29" s="1287"/>
      <c r="AN29" s="1287"/>
      <c r="AO29" s="1390"/>
      <c r="AP29" s="1110"/>
      <c r="AQ29" s="11"/>
      <c r="AR29" s="163"/>
      <c r="AS29" s="69"/>
      <c r="AT29" s="69"/>
      <c r="AU29" s="69"/>
      <c r="AV29" s="69"/>
      <c r="AW29" s="69"/>
      <c r="AX29" s="35">
        <v>0</v>
      </c>
    </row>
    <row r="30" spans="1:50"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1"/>
      <c r="AC30" s="1287" t="str">
        <f>IF(TITLE_IST_PUB_CHANGE="",IF(TITLE_IST_PUB="","",TITLE_IST_PUB),TITLE_IST_PUB_CHANGE)</f>
        <v>«Официальный интернет-портал правовой информации» (www.pravo.gov.ru)</v>
      </c>
      <c r="AD30" s="1287"/>
      <c r="AE30" s="1287"/>
      <c r="AF30" s="1287"/>
      <c r="AG30" s="1287"/>
      <c r="AH30" s="1287"/>
      <c r="AI30" s="11"/>
      <c r="AJ30" s="1287" t="str">
        <f>IF(TITLE_IST_PUB_CHANGE="",IF(TITLE_IST_PUB="","",TITLE_IST_PUB),TITLE_IST_PUB_CHANGE)</f>
        <v>«Официальный интернет-портал правовой информации» (www.pravo.gov.ru)</v>
      </c>
      <c r="AK30" s="1287"/>
      <c r="AL30" s="1287"/>
      <c r="AM30" s="1287"/>
      <c r="AN30" s="1287"/>
      <c r="AO30" s="1390"/>
      <c r="AP30" s="1110"/>
      <c r="AQ30" s="11"/>
      <c r="AR30" s="163"/>
      <c r="AS30" s="69"/>
      <c r="AT30" s="69"/>
      <c r="AU30" s="69"/>
      <c r="AV30" s="69"/>
      <c r="AW30" s="69"/>
      <c r="AX30" s="35">
        <v>0</v>
      </c>
    </row>
    <row r="31" spans="1:50"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119"/>
      <c r="AP31" s="1119"/>
      <c r="AX31" s="11">
        <v>0</v>
      </c>
    </row>
    <row r="32" spans="1:50"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1"/>
      <c r="AC32" s="1286">
        <f>IF(TITLE_DATE_PR_CHANGE="",IF(TITLE_DATE_PR="","",TITLE_DATE_PR),TITLE_DATE_PR_CHANGE)</f>
        <v>45999</v>
      </c>
      <c r="AD32" s="1286"/>
      <c r="AE32" s="1286"/>
      <c r="AF32" s="1286"/>
      <c r="AG32" s="1286"/>
      <c r="AH32" s="1286"/>
      <c r="AI32" s="11"/>
      <c r="AJ32" s="1286">
        <f>IF(TITLE_DATE_PR_CHANGE="",IF(TITLE_DATE_PR="","",TITLE_DATE_PR),TITLE_DATE_PR_CHANGE)</f>
        <v>45999</v>
      </c>
      <c r="AK32" s="1286"/>
      <c r="AL32" s="1286"/>
      <c r="AM32" s="1286"/>
      <c r="AN32" s="1286"/>
      <c r="AO32" s="1391"/>
      <c r="AP32" s="1110"/>
      <c r="AQ32" s="11"/>
      <c r="AR32" s="163"/>
      <c r="AS32" s="69"/>
      <c r="AT32" s="69"/>
      <c r="AU32" s="69"/>
      <c r="AV32" s="69"/>
      <c r="AW32" s="69"/>
      <c r="AX32" s="35">
        <v>0</v>
      </c>
    </row>
    <row r="33" spans="1:50"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1"/>
      <c r="AC33" s="1287" t="str">
        <f>IF(TITLE_NUMBER_PR_CHANGE="",IF(TITLE_NUMBER_PR="","",TITLE_NUMBER_PR),TITLE_NUMBER_PR_CHANGE)</f>
        <v>94-нп</v>
      </c>
      <c r="AD33" s="1287"/>
      <c r="AE33" s="1287"/>
      <c r="AF33" s="1287"/>
      <c r="AG33" s="1287"/>
      <c r="AH33" s="1287"/>
      <c r="AI33" s="11"/>
      <c r="AJ33" s="1287" t="str">
        <f>IF(TITLE_NUMBER_PR_CHANGE="",IF(TITLE_NUMBER_PR="","",TITLE_NUMBER_PR),TITLE_NUMBER_PR_CHANGE)</f>
        <v>94-нп</v>
      </c>
      <c r="AK33" s="1287"/>
      <c r="AL33" s="1287"/>
      <c r="AM33" s="1287"/>
      <c r="AN33" s="1287"/>
      <c r="AO33" s="1390"/>
      <c r="AP33" s="1110"/>
      <c r="AQ33" s="11"/>
      <c r="AR33" s="163"/>
      <c r="AS33" s="69"/>
      <c r="AT33" s="69"/>
      <c r="AU33" s="69"/>
      <c r="AV33" s="69"/>
      <c r="AW33" s="69"/>
      <c r="AX33" s="35">
        <v>0</v>
      </c>
    </row>
    <row r="34" spans="1:50"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J34" s="11"/>
      <c r="AK34" s="11"/>
      <c r="AL34" s="11"/>
      <c r="AM34" s="11"/>
      <c r="AN34" s="11"/>
      <c r="AO34" s="1110"/>
      <c r="AP34" s="1120" t="s">
        <v>429</v>
      </c>
      <c r="AS34" s="69"/>
      <c r="AT34" s="69"/>
      <c r="AU34" s="69"/>
      <c r="AV34" s="69"/>
      <c r="AW34" s="69"/>
      <c r="AX34" s="35">
        <v>1</v>
      </c>
    </row>
    <row r="35" spans="1:50" ht="14.7" customHeight="1">
      <c r="Q35" s="28"/>
      <c r="R35" s="28"/>
      <c r="S35" s="739"/>
      <c r="T35" s="10"/>
      <c r="U35" s="720"/>
      <c r="V35" s="1306"/>
      <c r="W35" s="1306"/>
      <c r="X35" s="1306"/>
      <c r="Y35" s="1306"/>
      <c r="Z35" s="1306"/>
      <c r="AA35" s="1306"/>
      <c r="AB35" s="1306"/>
      <c r="AC35" s="1306"/>
      <c r="AD35" s="1306"/>
      <c r="AE35" s="1306"/>
      <c r="AF35" s="1306"/>
      <c r="AG35" s="1306"/>
      <c r="AH35" s="1306"/>
      <c r="AI35" s="1306"/>
      <c r="AJ35" s="1306" t="s">
        <v>522</v>
      </c>
      <c r="AK35" s="1306"/>
      <c r="AL35" s="1306"/>
      <c r="AM35" s="1306"/>
      <c r="AN35" s="1306"/>
      <c r="AO35" s="1392"/>
      <c r="AP35" s="1392"/>
      <c r="AX35" s="11">
        <v>14</v>
      </c>
    </row>
    <row r="36" spans="1:50" ht="15"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t="s">
        <v>304</v>
      </c>
      <c r="AK36" s="1158"/>
      <c r="AL36" s="1158"/>
      <c r="AM36" s="1158"/>
      <c r="AN36" s="1158"/>
      <c r="AO36" s="1385"/>
      <c r="AP36" s="1385"/>
      <c r="AQ36" s="1158"/>
      <c r="AR36" s="1158"/>
    </row>
    <row r="37" spans="1:50" ht="14.7" customHeight="1">
      <c r="Q37" s="28"/>
      <c r="R37" s="28"/>
      <c r="S37" s="1307" t="s">
        <v>89</v>
      </c>
      <c r="T37" s="1255" t="s">
        <v>430</v>
      </c>
      <c r="U37" s="172"/>
      <c r="V37" s="1308" t="s">
        <v>431</v>
      </c>
      <c r="W37" s="1309"/>
      <c r="X37" s="1309"/>
      <c r="Y37" s="1309"/>
      <c r="Z37" s="1309"/>
      <c r="AA37" s="1310"/>
      <c r="AB37" s="1311" t="s">
        <v>432</v>
      </c>
      <c r="AC37" s="1308" t="s">
        <v>431</v>
      </c>
      <c r="AD37" s="1309"/>
      <c r="AE37" s="1309"/>
      <c r="AF37" s="1309"/>
      <c r="AG37" s="1309"/>
      <c r="AH37" s="1310"/>
      <c r="AI37" s="1311" t="s">
        <v>433</v>
      </c>
      <c r="AJ37" s="1308" t="s">
        <v>431</v>
      </c>
      <c r="AK37" s="1309"/>
      <c r="AL37" s="1309"/>
      <c r="AM37" s="1309"/>
      <c r="AN37" s="1309"/>
      <c r="AO37" s="1393"/>
      <c r="AP37" s="1394" t="s">
        <v>432</v>
      </c>
      <c r="AQ37" s="1314" t="s">
        <v>434</v>
      </c>
      <c r="AR37" s="1158"/>
      <c r="AX37" s="11">
        <v>14</v>
      </c>
    </row>
    <row r="38" spans="1:50" ht="35.700000000000003" customHeight="1">
      <c r="Q38" s="28"/>
      <c r="R38" s="28"/>
      <c r="S38" s="1307"/>
      <c r="T38" s="1255"/>
      <c r="U38" s="607"/>
      <c r="V38" s="340" t="s">
        <v>490</v>
      </c>
      <c r="W38" s="1140" t="s">
        <v>437</v>
      </c>
      <c r="X38" s="1139"/>
      <c r="Y38" s="1140" t="s">
        <v>438</v>
      </c>
      <c r="Z38" s="1145"/>
      <c r="AA38" s="1139"/>
      <c r="AB38" s="1312"/>
      <c r="AC38" s="340" t="s">
        <v>490</v>
      </c>
      <c r="AD38" s="1140" t="s">
        <v>437</v>
      </c>
      <c r="AE38" s="1139"/>
      <c r="AF38" s="1140" t="s">
        <v>438</v>
      </c>
      <c r="AG38" s="1145"/>
      <c r="AH38" s="1139"/>
      <c r="AI38" s="1312"/>
      <c r="AJ38" s="340" t="s">
        <v>490</v>
      </c>
      <c r="AK38" s="1140" t="s">
        <v>437</v>
      </c>
      <c r="AL38" s="1139"/>
      <c r="AM38" s="1140" t="s">
        <v>438</v>
      </c>
      <c r="AN38" s="1145"/>
      <c r="AO38" s="1397"/>
      <c r="AP38" s="1395"/>
      <c r="AQ38" s="1315"/>
      <c r="AR38" s="1158"/>
      <c r="AX38" s="11">
        <v>34</v>
      </c>
    </row>
    <row r="39" spans="1:50" ht="90.3"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07"/>
      <c r="T39" s="1255"/>
      <c r="U39" s="173"/>
      <c r="V39" s="340" t="s">
        <v>519</v>
      </c>
      <c r="W39" s="39" t="s">
        <v>520</v>
      </c>
      <c r="X39" s="39" t="s">
        <v>495</v>
      </c>
      <c r="Y39" s="39" t="s">
        <v>448</v>
      </c>
      <c r="Z39" s="1260" t="s">
        <v>449</v>
      </c>
      <c r="AA39" s="1274"/>
      <c r="AB39" s="1313"/>
      <c r="AC39" s="340" t="s">
        <v>519</v>
      </c>
      <c r="AD39" s="39" t="s">
        <v>520</v>
      </c>
      <c r="AE39" s="39" t="s">
        <v>495</v>
      </c>
      <c r="AF39" s="39" t="s">
        <v>448</v>
      </c>
      <c r="AG39" s="1260" t="s">
        <v>449</v>
      </c>
      <c r="AH39" s="1274"/>
      <c r="AI39" s="1313"/>
      <c r="AJ39" s="340" t="s">
        <v>519</v>
      </c>
      <c r="AK39" s="39" t="s">
        <v>520</v>
      </c>
      <c r="AL39" s="39" t="s">
        <v>495</v>
      </c>
      <c r="AM39" s="39" t="s">
        <v>448</v>
      </c>
      <c r="AN39" s="1260" t="s">
        <v>449</v>
      </c>
      <c r="AO39" s="1398"/>
      <c r="AP39" s="1396"/>
      <c r="AQ39" s="1316"/>
      <c r="AR39" s="1158"/>
      <c r="AX39" s="11">
        <v>86</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05">
        <f ca="1">OFFSET(Z40,0,-1)+1</f>
        <v>7</v>
      </c>
      <c r="AA40" s="1305"/>
      <c r="AB40" s="727">
        <f ca="1">OFFSET(AB40,0,-2)+1</f>
        <v>8</v>
      </c>
      <c r="AC40" s="727">
        <f ca="1">OFFSET(AC40,0,-1)+1</f>
        <v>9</v>
      </c>
      <c r="AD40" s="727">
        <f ca="1">OFFSET(AD40,0,-1)+1</f>
        <v>10</v>
      </c>
      <c r="AE40" s="727">
        <f ca="1">OFFSET(AE40,0,-1)+1</f>
        <v>11</v>
      </c>
      <c r="AF40" s="727">
        <f ca="1">OFFSET(AF40,0,-1)+1</f>
        <v>12</v>
      </c>
      <c r="AG40" s="1305">
        <f ca="1">OFFSET(AG40,0,-1)+1</f>
        <v>13</v>
      </c>
      <c r="AH40" s="1305"/>
      <c r="AI40" s="727">
        <f ca="1">OFFSET(AI40,0,-2)+1</f>
        <v>14</v>
      </c>
      <c r="AJ40" s="727">
        <f ca="1">OFFSET(AJ40,0,-1)+1</f>
        <v>15</v>
      </c>
      <c r="AK40" s="727">
        <f ca="1">OFFSET(AK40,0,-1)+1</f>
        <v>16</v>
      </c>
      <c r="AL40" s="727">
        <f ca="1">OFFSET(AL40,0,-1)+1</f>
        <v>17</v>
      </c>
      <c r="AM40" s="727">
        <f ca="1">OFFSET(AM40,0,-1)+1</f>
        <v>18</v>
      </c>
      <c r="AN40" s="1305">
        <f ca="1">OFFSET(AN40,0,-1)+1</f>
        <v>19</v>
      </c>
      <c r="AO40" s="1386"/>
      <c r="AP40" s="1121">
        <f ca="1">OFFSET(AP40,0,-2)+1</f>
        <v>20</v>
      </c>
      <c r="AQ40" s="721">
        <f ca="1">OFFSET(AQ40,0,-1)</f>
        <v>20</v>
      </c>
      <c r="AR40" s="727">
        <f ca="1">OFFSET(AR40,0,-1)+1</f>
        <v>21</v>
      </c>
      <c r="AS40" s="68"/>
      <c r="AT40" s="68"/>
      <c r="AU40" s="68"/>
      <c r="AV40" s="68"/>
      <c r="AW40" s="68"/>
      <c r="AX40" s="203">
        <v>0</v>
      </c>
    </row>
    <row r="41" spans="1:50" ht="24" customHeight="1">
      <c r="A41" s="769" t="s">
        <v>272</v>
      </c>
      <c r="B41" s="769"/>
      <c r="C41" s="769"/>
      <c r="D41" s="769"/>
      <c r="E41" s="1294">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88"/>
      <c r="W41" s="1289"/>
      <c r="X41" s="1289"/>
      <c r="Y41" s="1289"/>
      <c r="Z41" s="1289"/>
      <c r="AA41" s="1289"/>
      <c r="AB41" s="1290"/>
      <c r="AC41" s="1288" t="str">
        <f>INDEX(PT_DIFFERENTIATION_NTAR,MATCH(A41,PT_DIFFERENTIATION_NTAR_ID,0))</f>
        <v>Транспортировка сточных вод</v>
      </c>
      <c r="AD41" s="1289"/>
      <c r="AE41" s="1289"/>
      <c r="AF41" s="1289"/>
      <c r="AG41" s="1289"/>
      <c r="AH41" s="1289"/>
      <c r="AI41" s="1289"/>
      <c r="AJ41" s="1288"/>
      <c r="AK41" s="1289"/>
      <c r="AL41" s="1289"/>
      <c r="AM41" s="1289"/>
      <c r="AN41" s="1289"/>
      <c r="AO41" s="1379"/>
      <c r="AP41" s="1380"/>
      <c r="AQ41" s="1290"/>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9"/>
      <c r="AU41" s="69" t="str">
        <f t="shared" ref="AU41:AU53" si="1">IF(T41="","",T41)</f>
        <v>Наименование тарифа</v>
      </c>
      <c r="AV41" s="69"/>
      <c r="AW41" s="69"/>
      <c r="AX41" s="11">
        <v>23</v>
      </c>
    </row>
    <row r="42" spans="1:50" ht="24" customHeight="1">
      <c r="A42" s="769" t="s">
        <v>272</v>
      </c>
      <c r="B42" s="769" t="s">
        <v>273</v>
      </c>
      <c r="C42" s="769"/>
      <c r="D42" s="769"/>
      <c r="E42" s="1295"/>
      <c r="F42" s="1294">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88"/>
      <c r="W42" s="1289"/>
      <c r="X42" s="1289"/>
      <c r="Y42" s="1289"/>
      <c r="Z42" s="1289"/>
      <c r="AA42" s="1289"/>
      <c r="AB42" s="1290"/>
      <c r="AC42" s="1288" t="str">
        <f>INDEX(PT_DIFFERENTIATION_TER,MATCH(B42,PT_DIFFERENTIATION_TER_ID,0))</f>
        <v>без дифференциации</v>
      </c>
      <c r="AD42" s="1289"/>
      <c r="AE42" s="1289"/>
      <c r="AF42" s="1289"/>
      <c r="AG42" s="1289"/>
      <c r="AH42" s="1289"/>
      <c r="AI42" s="1289"/>
      <c r="AJ42" s="1288"/>
      <c r="AK42" s="1289"/>
      <c r="AL42" s="1289"/>
      <c r="AM42" s="1289"/>
      <c r="AN42" s="1289"/>
      <c r="AO42" s="1379"/>
      <c r="AP42" s="1380"/>
      <c r="AQ42" s="1290"/>
      <c r="AR42" s="729" t="s">
        <v>402</v>
      </c>
      <c r="AT42" s="69"/>
      <c r="AU42" s="69" t="str">
        <f t="shared" si="1"/>
        <v>Территория действия тарифа</v>
      </c>
      <c r="AV42" s="69"/>
      <c r="AW42" s="69"/>
      <c r="AX42" s="11">
        <v>23</v>
      </c>
    </row>
    <row r="43" spans="1:50" ht="24" customHeight="1">
      <c r="A43" s="769" t="s">
        <v>272</v>
      </c>
      <c r="B43" s="769" t="s">
        <v>273</v>
      </c>
      <c r="C43" s="769" t="s">
        <v>274</v>
      </c>
      <c r="D43" s="769"/>
      <c r="E43" s="1295"/>
      <c r="F43" s="1295"/>
      <c r="G43" s="1294">
        <v>1</v>
      </c>
      <c r="H43" s="769"/>
      <c r="I43" s="769"/>
      <c r="J43" s="769"/>
      <c r="K43" s="769"/>
      <c r="L43" s="770"/>
      <c r="M43" s="426"/>
      <c r="N43" s="426"/>
      <c r="O43" s="426"/>
      <c r="P43" s="206"/>
      <c r="Q43" s="204"/>
      <c r="R43" s="205"/>
      <c r="S43" s="709" t="str">
        <f>INDEX(PT_DIFFERENTIATION_NUM_CS,MATCH(C43,PT_DIFFERENTIATION_CS_ID,0))</f>
        <v>1.1.1</v>
      </c>
      <c r="T43" s="178" t="s">
        <v>517</v>
      </c>
      <c r="U43" s="171"/>
      <c r="V43" s="1288"/>
      <c r="W43" s="1289"/>
      <c r="X43" s="1289"/>
      <c r="Y43" s="1289"/>
      <c r="Z43" s="1289"/>
      <c r="AA43" s="1289"/>
      <c r="AB43" s="1290"/>
      <c r="AC43" s="1288" t="str">
        <f>INDEX(PT_DIFFERENTIATION_CS,MATCH(C43,PT_DIFFERENTIATION_CS_ID,0))</f>
        <v>без дифференциации</v>
      </c>
      <c r="AD43" s="1289"/>
      <c r="AE43" s="1289"/>
      <c r="AF43" s="1289"/>
      <c r="AG43" s="1289"/>
      <c r="AH43" s="1289"/>
      <c r="AI43" s="1289"/>
      <c r="AJ43" s="1288"/>
      <c r="AK43" s="1289"/>
      <c r="AL43" s="1289"/>
      <c r="AM43" s="1289"/>
      <c r="AN43" s="1289"/>
      <c r="AO43" s="1379"/>
      <c r="AP43" s="1380"/>
      <c r="AQ43" s="1290"/>
      <c r="AR43" s="729" t="s">
        <v>518</v>
      </c>
      <c r="AT43" s="69"/>
      <c r="AU43" s="69" t="str">
        <f t="shared" si="1"/>
        <v>Наименование централизованной системы водоотведения</v>
      </c>
      <c r="AV43" s="69"/>
      <c r="AW43" s="69"/>
      <c r="AX43" s="11">
        <v>23</v>
      </c>
    </row>
    <row r="44" spans="1:50" ht="24" customHeight="1">
      <c r="A44" s="769" t="s">
        <v>272</v>
      </c>
      <c r="B44" s="769" t="s">
        <v>273</v>
      </c>
      <c r="C44" s="769" t="s">
        <v>274</v>
      </c>
      <c r="D44" s="769" t="s">
        <v>523</v>
      </c>
      <c r="E44" s="1295"/>
      <c r="F44" s="1295"/>
      <c r="G44" s="1295"/>
      <c r="H44" s="1295"/>
      <c r="I44" s="1296" t="str">
        <f>S43&amp;".1"</f>
        <v>1.1.1.1</v>
      </c>
      <c r="J44" s="769"/>
      <c r="K44" s="769"/>
      <c r="L44" s="770"/>
      <c r="P44" s="1298">
        <v>1</v>
      </c>
      <c r="Q44" s="122"/>
      <c r="R44" s="208"/>
      <c r="S44" s="709" t="str">
        <f>$I44</f>
        <v>1.1.1.1</v>
      </c>
      <c r="T44" s="164" t="s">
        <v>484</v>
      </c>
      <c r="U44" s="171"/>
      <c r="V44" s="1362"/>
      <c r="W44" s="1363"/>
      <c r="X44" s="1363"/>
      <c r="Y44" s="1363"/>
      <c r="Z44" s="1363"/>
      <c r="AA44" s="1363"/>
      <c r="AB44" s="1364"/>
      <c r="AC44" s="1365" t="s">
        <v>19</v>
      </c>
      <c r="AD44" s="1366"/>
      <c r="AE44" s="1366"/>
      <c r="AF44" s="1366"/>
      <c r="AG44" s="1366"/>
      <c r="AH44" s="1366"/>
      <c r="AI44" s="1366"/>
      <c r="AJ44" s="1362"/>
      <c r="AK44" s="1363"/>
      <c r="AL44" s="1363"/>
      <c r="AM44" s="1363"/>
      <c r="AN44" s="1363"/>
      <c r="AO44" s="1381"/>
      <c r="AP44" s="1382"/>
      <c r="AQ44" s="1367"/>
      <c r="AR44" s="729" t="s">
        <v>485</v>
      </c>
      <c r="AT44" s="69"/>
      <c r="AU44" s="69" t="str">
        <f t="shared" si="1"/>
        <v>Наименование признака дифференциации</v>
      </c>
      <c r="AV44" s="69"/>
      <c r="AW44" s="69"/>
      <c r="AX44" s="11">
        <v>23</v>
      </c>
    </row>
    <row r="45" spans="1:50" ht="24" customHeight="1">
      <c r="A45" s="769" t="s">
        <v>272</v>
      </c>
      <c r="B45" s="769" t="s">
        <v>273</v>
      </c>
      <c r="C45" s="769" t="s">
        <v>274</v>
      </c>
      <c r="D45" s="769" t="s">
        <v>523</v>
      </c>
      <c r="E45" s="1295"/>
      <c r="F45" s="1295"/>
      <c r="G45" s="1295"/>
      <c r="H45" s="1295"/>
      <c r="I45" s="1297"/>
      <c r="J45" s="1296" t="str">
        <f>I44&amp;".1"</f>
        <v>1.1.1.1.1</v>
      </c>
      <c r="K45" s="769"/>
      <c r="L45" s="770" t="s">
        <v>410</v>
      </c>
      <c r="P45" s="1298"/>
      <c r="Q45" s="1298">
        <v>1</v>
      </c>
      <c r="R45" s="209"/>
      <c r="S45" s="709" t="str">
        <f>$J45</f>
        <v>1.1.1.1.1</v>
      </c>
      <c r="T45" s="165" t="s">
        <v>411</v>
      </c>
      <c r="U45" s="171"/>
      <c r="V45" s="1282"/>
      <c r="W45" s="1283"/>
      <c r="X45" s="1283"/>
      <c r="Y45" s="1283"/>
      <c r="Z45" s="1283"/>
      <c r="AA45" s="1283"/>
      <c r="AB45" s="1284"/>
      <c r="AC45" s="1282" t="s">
        <v>524</v>
      </c>
      <c r="AD45" s="1283"/>
      <c r="AE45" s="1283"/>
      <c r="AF45" s="1283"/>
      <c r="AG45" s="1283"/>
      <c r="AH45" s="1283"/>
      <c r="AI45" s="1283"/>
      <c r="AJ45" s="1282"/>
      <c r="AK45" s="1283"/>
      <c r="AL45" s="1283"/>
      <c r="AM45" s="1283"/>
      <c r="AN45" s="1283"/>
      <c r="AO45" s="1383"/>
      <c r="AP45" s="1384"/>
      <c r="AQ45" s="1284"/>
      <c r="AR45" s="753" t="s">
        <v>486</v>
      </c>
      <c r="AT45" s="69"/>
      <c r="AU45" s="69" t="str">
        <f t="shared" si="1"/>
        <v>Группа потребителей</v>
      </c>
      <c r="AV45" s="69"/>
      <c r="AW45" s="69"/>
      <c r="AX45" s="11">
        <v>23</v>
      </c>
    </row>
    <row r="46" spans="1:50" ht="24" customHeight="1">
      <c r="A46" s="769" t="s">
        <v>272</v>
      </c>
      <c r="B46" s="769" t="s">
        <v>273</v>
      </c>
      <c r="C46" s="769" t="s">
        <v>274</v>
      </c>
      <c r="D46" s="769" t="s">
        <v>523</v>
      </c>
      <c r="E46" s="1295"/>
      <c r="F46" s="1295"/>
      <c r="G46" s="1295"/>
      <c r="H46" s="1295"/>
      <c r="I46" s="1297"/>
      <c r="J46" s="1297"/>
      <c r="K46" s="1296" t="str">
        <f>J45&amp;".1"</f>
        <v>1.1.1.1.1.1</v>
      </c>
      <c r="L46" s="770"/>
      <c r="P46" s="1298"/>
      <c r="Q46" s="1298"/>
      <c r="R46" s="209">
        <v>1</v>
      </c>
      <c r="S46" s="709" t="str">
        <f>$K46</f>
        <v>1.1.1.1.1.1</v>
      </c>
      <c r="T46" s="812"/>
      <c r="U46" s="171"/>
      <c r="V46" s="306"/>
      <c r="W46" s="306"/>
      <c r="X46" s="728"/>
      <c r="Y46" s="1299"/>
      <c r="Z46" s="1168" t="s">
        <v>67</v>
      </c>
      <c r="AA46" s="1301"/>
      <c r="AB46" s="1168" t="s">
        <v>67</v>
      </c>
      <c r="AC46" s="306">
        <v>23.18</v>
      </c>
      <c r="AD46" s="306"/>
      <c r="AE46" s="728"/>
      <c r="AF46" s="1299">
        <v>46023</v>
      </c>
      <c r="AG46" s="1168" t="s">
        <v>67</v>
      </c>
      <c r="AH46" s="1301">
        <v>46295</v>
      </c>
      <c r="AI46" s="1168" t="s">
        <v>67</v>
      </c>
      <c r="AJ46" s="306">
        <v>31.17</v>
      </c>
      <c r="AK46" s="306"/>
      <c r="AL46" s="728"/>
      <c r="AM46" s="1299">
        <v>46296</v>
      </c>
      <c r="AN46" s="1168" t="s">
        <v>67</v>
      </c>
      <c r="AO46" s="1399">
        <v>46387</v>
      </c>
      <c r="AP46" s="1168" t="s">
        <v>67</v>
      </c>
      <c r="AQ46" s="813"/>
      <c r="AR46"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
      </c>
      <c r="AV46" s="69"/>
      <c r="AW46" s="69"/>
      <c r="AX46" s="11">
        <v>23</v>
      </c>
    </row>
    <row r="47" spans="1:50" ht="0" hidden="1" customHeight="1">
      <c r="A47" s="769" t="s">
        <v>272</v>
      </c>
      <c r="B47" s="769" t="s">
        <v>273</v>
      </c>
      <c r="C47" s="769" t="s">
        <v>274</v>
      </c>
      <c r="D47" s="769" t="s">
        <v>523</v>
      </c>
      <c r="E47" s="1295"/>
      <c r="F47" s="1295"/>
      <c r="G47" s="1295"/>
      <c r="H47" s="1295"/>
      <c r="I47" s="1297"/>
      <c r="J47" s="1297"/>
      <c r="K47" s="1296"/>
      <c r="L47" s="770"/>
      <c r="P47" s="1298"/>
      <c r="Q47" s="1298"/>
      <c r="R47" s="209"/>
      <c r="S47" s="65"/>
      <c r="T47" s="171"/>
      <c r="U47" s="171"/>
      <c r="V47" s="191"/>
      <c r="W47" s="191"/>
      <c r="X47" s="192" t="str">
        <f>Y46&amp;"-"&amp;AA46</f>
        <v>-</v>
      </c>
      <c r="Y47" s="1300"/>
      <c r="Z47" s="1168"/>
      <c r="AA47" s="1302"/>
      <c r="AB47" s="1168"/>
      <c r="AC47" s="191"/>
      <c r="AD47" s="191"/>
      <c r="AE47" s="192" t="str">
        <f>AF46&amp;"-"&amp;AH46</f>
        <v>46023-46295</v>
      </c>
      <c r="AF47" s="1300"/>
      <c r="AG47" s="1168"/>
      <c r="AH47" s="1302"/>
      <c r="AI47" s="1168"/>
      <c r="AJ47" s="191"/>
      <c r="AK47" s="191"/>
      <c r="AL47" s="192" t="str">
        <f>AM46&amp;"-"&amp;AO46</f>
        <v>46296-46387</v>
      </c>
      <c r="AM47" s="1300"/>
      <c r="AN47" s="1168"/>
      <c r="AO47" s="1400"/>
      <c r="AP47" s="1168"/>
      <c r="AQ47" s="388"/>
      <c r="AR47" s="1368"/>
      <c r="AT47" s="69"/>
      <c r="AU47" s="69" t="str">
        <f t="shared" si="1"/>
        <v/>
      </c>
      <c r="AV47" s="69"/>
      <c r="AW47" s="69"/>
      <c r="AX47" s="11">
        <v>0</v>
      </c>
    </row>
    <row r="48" spans="1:50" ht="21" customHeight="1">
      <c r="A48" s="769" t="s">
        <v>272</v>
      </c>
      <c r="B48" s="769" t="s">
        <v>273</v>
      </c>
      <c r="C48" s="769" t="s">
        <v>274</v>
      </c>
      <c r="D48" s="769" t="s">
        <v>523</v>
      </c>
      <c r="E48" s="1295"/>
      <c r="F48" s="1295"/>
      <c r="G48" s="1295"/>
      <c r="H48" s="1295"/>
      <c r="I48" s="1297"/>
      <c r="J48" s="1296"/>
      <c r="K48" s="769"/>
      <c r="L48" s="770"/>
      <c r="P48" s="1298"/>
      <c r="Q48" s="1298"/>
      <c r="R48" s="208"/>
      <c r="S48" s="742"/>
      <c r="T48" s="166" t="s">
        <v>487</v>
      </c>
      <c r="U48" s="213"/>
      <c r="V48" s="213"/>
      <c r="W48" s="213"/>
      <c r="X48" s="213"/>
      <c r="Y48" s="213"/>
      <c r="Z48" s="213"/>
      <c r="AA48" s="213"/>
      <c r="AB48" s="213"/>
      <c r="AC48" s="213"/>
      <c r="AD48" s="213"/>
      <c r="AE48" s="213"/>
      <c r="AF48" s="213"/>
      <c r="AG48" s="213"/>
      <c r="AH48" s="213"/>
      <c r="AI48" s="213"/>
      <c r="AJ48" s="213"/>
      <c r="AK48" s="213"/>
      <c r="AL48" s="213"/>
      <c r="AM48" s="213"/>
      <c r="AN48" s="213"/>
      <c r="AO48" s="1111"/>
      <c r="AP48" s="1111"/>
      <c r="AQ48" s="213"/>
      <c r="AR48" s="729" t="s">
        <v>488</v>
      </c>
      <c r="AT48" s="69"/>
      <c r="AU48" s="69" t="str">
        <f t="shared" si="1"/>
        <v>Добавить значение признака дифференциации</v>
      </c>
      <c r="AV48" s="69"/>
      <c r="AW48" s="69"/>
      <c r="AX48" s="11">
        <v>20</v>
      </c>
    </row>
    <row r="49" spans="1:50" ht="22.05" customHeight="1">
      <c r="A49" s="769" t="s">
        <v>272</v>
      </c>
      <c r="B49" s="769" t="s">
        <v>273</v>
      </c>
      <c r="C49" s="769" t="s">
        <v>274</v>
      </c>
      <c r="D49" s="769" t="s">
        <v>523</v>
      </c>
      <c r="E49" s="1295"/>
      <c r="F49" s="1295"/>
      <c r="G49" s="1295"/>
      <c r="H49" s="1295"/>
      <c r="I49" s="1296"/>
      <c r="J49" s="769"/>
      <c r="K49" s="769"/>
      <c r="L49" s="770"/>
      <c r="P49" s="1298"/>
      <c r="Q49" s="122"/>
      <c r="R49" s="208"/>
      <c r="S49" s="742"/>
      <c r="T49" s="211" t="s">
        <v>416</v>
      </c>
      <c r="U49" s="213"/>
      <c r="V49" s="213"/>
      <c r="W49" s="213"/>
      <c r="X49" s="213"/>
      <c r="Y49" s="213"/>
      <c r="Z49" s="213"/>
      <c r="AA49" s="213"/>
      <c r="AB49" s="212"/>
      <c r="AC49" s="213"/>
      <c r="AD49" s="213"/>
      <c r="AE49" s="213"/>
      <c r="AF49" s="213"/>
      <c r="AG49" s="213"/>
      <c r="AH49" s="213"/>
      <c r="AI49" s="212"/>
      <c r="AJ49" s="213"/>
      <c r="AK49" s="213"/>
      <c r="AL49" s="213"/>
      <c r="AM49" s="213"/>
      <c r="AN49" s="213"/>
      <c r="AO49" s="1111"/>
      <c r="AP49" s="1112"/>
      <c r="AQ49" s="213"/>
      <c r="AR49" s="814"/>
      <c r="AT49" s="69"/>
      <c r="AU49" s="69" t="str">
        <f t="shared" si="1"/>
        <v>Добавить группу потребителей</v>
      </c>
      <c r="AV49" s="69"/>
      <c r="AW49" s="69"/>
      <c r="AX49" s="11">
        <v>21</v>
      </c>
    </row>
    <row r="50" spans="1:50" ht="22.05" customHeight="1">
      <c r="A50" s="769" t="s">
        <v>272</v>
      </c>
      <c r="B50" s="769" t="s">
        <v>273</v>
      </c>
      <c r="C50" s="769" t="s">
        <v>274</v>
      </c>
      <c r="D50" s="769" t="s">
        <v>523</v>
      </c>
      <c r="E50" s="1295"/>
      <c r="F50" s="1295"/>
      <c r="G50" s="1295"/>
      <c r="H50" s="129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213"/>
      <c r="AL50" s="213"/>
      <c r="AM50" s="213"/>
      <c r="AN50" s="213"/>
      <c r="AO50" s="1111"/>
      <c r="AP50" s="1112"/>
      <c r="AQ50" s="213"/>
      <c r="AR50" s="174"/>
      <c r="AT50" s="69"/>
      <c r="AU50" s="69" t="str">
        <f t="shared" si="1"/>
        <v>Добавить наименование признака дифференциации</v>
      </c>
      <c r="AV50" s="69"/>
      <c r="AW50" s="69"/>
      <c r="AX50" s="11">
        <v>21</v>
      </c>
    </row>
    <row r="51" spans="1:50" s="68" customFormat="1" ht="0" hidden="1" customHeight="1">
      <c r="A51" s="145" t="s">
        <v>272</v>
      </c>
      <c r="B51" s="145" t="s">
        <v>273</v>
      </c>
      <c r="C51" s="145"/>
      <c r="D51" s="145"/>
      <c r="E51" s="1295"/>
      <c r="F51" s="1294"/>
      <c r="G51" s="145"/>
      <c r="H51" s="145"/>
      <c r="I51" s="145"/>
      <c r="J51" s="145"/>
      <c r="K51" s="145"/>
      <c r="L51" s="346"/>
      <c r="M51" s="759"/>
      <c r="N51" s="759"/>
      <c r="P51" s="104"/>
      <c r="Q51" s="755"/>
      <c r="R51" s="104"/>
      <c r="S51" s="760"/>
      <c r="T51" s="762" t="s">
        <v>275</v>
      </c>
      <c r="U51" s="313"/>
      <c r="V51" s="313"/>
      <c r="W51" s="313"/>
      <c r="X51" s="313"/>
      <c r="Y51" s="313"/>
      <c r="Z51" s="313"/>
      <c r="AA51" s="313"/>
      <c r="AB51" s="313"/>
      <c r="AC51" s="313"/>
      <c r="AD51" s="313"/>
      <c r="AE51" s="313"/>
      <c r="AF51" s="313"/>
      <c r="AG51" s="313"/>
      <c r="AH51" s="313"/>
      <c r="AI51" s="313"/>
      <c r="AJ51" s="313"/>
      <c r="AK51" s="313"/>
      <c r="AL51" s="313"/>
      <c r="AM51" s="313"/>
      <c r="AN51" s="313"/>
      <c r="AO51" s="1113"/>
      <c r="AP51" s="1113"/>
      <c r="AQ51" s="313"/>
      <c r="AR51" s="313"/>
      <c r="AT51" s="69"/>
      <c r="AU51" s="69" t="str">
        <f t="shared" si="1"/>
        <v>Добавить централизованную систему для дифференциации</v>
      </c>
      <c r="AV51" s="69"/>
      <c r="AW51" s="69"/>
      <c r="AX51" s="68">
        <v>0</v>
      </c>
    </row>
    <row r="52" spans="1:50" s="68" customFormat="1" ht="0" hidden="1" customHeight="1">
      <c r="A52" s="145" t="s">
        <v>272</v>
      </c>
      <c r="B52" s="145"/>
      <c r="C52" s="145"/>
      <c r="D52" s="145"/>
      <c r="E52" s="1294"/>
      <c r="F52" s="145"/>
      <c r="G52" s="145"/>
      <c r="H52" s="145"/>
      <c r="I52" s="145"/>
      <c r="J52" s="145"/>
      <c r="K52" s="145"/>
      <c r="L52" s="346"/>
      <c r="M52" s="759"/>
      <c r="N52" s="759"/>
      <c r="P52" s="104"/>
      <c r="Q52" s="755"/>
      <c r="R52" s="104"/>
      <c r="S52" s="760"/>
      <c r="T52" s="762" t="s">
        <v>276</v>
      </c>
      <c r="U52" s="313"/>
      <c r="V52" s="313"/>
      <c r="W52" s="313"/>
      <c r="X52" s="313"/>
      <c r="Y52" s="313"/>
      <c r="Z52" s="313"/>
      <c r="AA52" s="313"/>
      <c r="AB52" s="313"/>
      <c r="AC52" s="313"/>
      <c r="AD52" s="313"/>
      <c r="AE52" s="313"/>
      <c r="AF52" s="313"/>
      <c r="AG52" s="313"/>
      <c r="AH52" s="313"/>
      <c r="AI52" s="313"/>
      <c r="AJ52" s="313"/>
      <c r="AK52" s="313"/>
      <c r="AL52" s="313"/>
      <c r="AM52" s="313"/>
      <c r="AN52" s="313"/>
      <c r="AO52" s="1113"/>
      <c r="AP52" s="1113"/>
      <c r="AQ52" s="313"/>
      <c r="AR52" s="313"/>
      <c r="AT52" s="69"/>
      <c r="AU52" s="69" t="str">
        <f t="shared" si="1"/>
        <v>Добавить территорию для дифференциации</v>
      </c>
      <c r="AV52" s="69"/>
      <c r="AW52" s="69"/>
      <c r="AX52" s="68">
        <v>0</v>
      </c>
    </row>
    <row r="53" spans="1:50"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L53" s="313"/>
      <c r="AM53" s="313"/>
      <c r="AN53" s="313"/>
      <c r="AO53" s="1113"/>
      <c r="AP53" s="1113"/>
      <c r="AQ53" s="313"/>
      <c r="AR53" s="313"/>
      <c r="AT53" s="69"/>
      <c r="AU53" s="69" t="str">
        <f t="shared" si="1"/>
        <v>Добавить наименование тарифа</v>
      </c>
      <c r="AV53" s="69"/>
      <c r="AW53" s="69"/>
      <c r="AX53" s="68">
        <v>0</v>
      </c>
    </row>
    <row r="54" spans="1:50" ht="11.55" customHeight="1">
      <c r="M54" s="63"/>
      <c r="N54" s="63"/>
      <c r="O54" s="63"/>
      <c r="P54" s="11"/>
      <c r="Q54" s="11"/>
      <c r="R54" s="11"/>
      <c r="S54" s="11"/>
      <c r="AJ54" s="11"/>
      <c r="AK54" s="11"/>
      <c r="AL54" s="11"/>
      <c r="AM54" s="11"/>
      <c r="AN54" s="11"/>
      <c r="AO54" s="1110"/>
      <c r="AP54" s="1110"/>
      <c r="AS54" s="11"/>
      <c r="AT54" s="11"/>
      <c r="AU54" s="11"/>
      <c r="AV54" s="11"/>
      <c r="AW54" s="11"/>
      <c r="AX54" s="11">
        <v>11</v>
      </c>
    </row>
    <row r="55" spans="1:50" ht="14.7" customHeight="1">
      <c r="O55" s="63"/>
      <c r="S55" s="198"/>
      <c r="T55" s="1293"/>
      <c r="U55" s="1293"/>
      <c r="V55" s="1293"/>
      <c r="W55" s="1293"/>
      <c r="X55" s="1293"/>
      <c r="Y55" s="1293"/>
      <c r="Z55" s="1293"/>
      <c r="AA55" s="1293"/>
      <c r="AB55" s="1293"/>
      <c r="AC55" s="1293"/>
      <c r="AD55" s="1293"/>
      <c r="AE55" s="1293"/>
      <c r="AF55" s="1293"/>
      <c r="AG55" s="1293"/>
      <c r="AH55" s="1293"/>
      <c r="AI55" s="1293"/>
      <c r="AJ55" s="1293"/>
      <c r="AK55" s="1293"/>
      <c r="AL55" s="1293"/>
      <c r="AM55" s="1293"/>
      <c r="AN55" s="1293"/>
      <c r="AO55" s="1378"/>
      <c r="AP55" s="1378"/>
      <c r="AQ55" s="1293"/>
      <c r="AR55" s="1293"/>
      <c r="AX55" s="11">
        <v>14</v>
      </c>
    </row>
    <row r="56" spans="1:50" ht="14.7" customHeight="1">
      <c r="O56" s="63"/>
      <c r="AJ56" s="11"/>
      <c r="AK56" s="11"/>
      <c r="AL56" s="11"/>
      <c r="AM56" s="11"/>
      <c r="AN56" s="11"/>
      <c r="AO56" s="1110"/>
      <c r="AP56" s="1110"/>
      <c r="AX56" s="11">
        <v>14</v>
      </c>
    </row>
    <row r="57" spans="1:50" ht="14.7" customHeight="1">
      <c r="O57" s="63"/>
      <c r="S57" s="198"/>
      <c r="T57" s="1293"/>
      <c r="U57" s="1293"/>
      <c r="V57" s="1293"/>
      <c r="W57" s="1293"/>
      <c r="X57" s="1293"/>
      <c r="Y57" s="1293"/>
      <c r="Z57" s="1293"/>
      <c r="AA57" s="1293"/>
      <c r="AB57" s="1293"/>
      <c r="AC57" s="1293"/>
      <c r="AD57" s="1293"/>
      <c r="AE57" s="1293"/>
      <c r="AF57" s="1293"/>
      <c r="AG57" s="1293"/>
      <c r="AH57" s="1293"/>
      <c r="AI57" s="1293"/>
      <c r="AJ57" s="1293"/>
      <c r="AK57" s="1293"/>
      <c r="AL57" s="1293"/>
      <c r="AM57" s="1293"/>
      <c r="AN57" s="1293"/>
      <c r="AO57" s="1378"/>
      <c r="AP57" s="1378"/>
      <c r="AQ57" s="1293"/>
      <c r="AR57" s="1293"/>
      <c r="AX57" s="11">
        <v>14</v>
      </c>
    </row>
    <row r="58" spans="1:50"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0</v>
      </c>
      <c r="AK58" s="11">
        <v>0</v>
      </c>
      <c r="AL58" s="11">
        <v>0</v>
      </c>
      <c r="AM58" s="11">
        <v>0</v>
      </c>
      <c r="AN58" s="11">
        <v>0</v>
      </c>
      <c r="AO58" s="1110">
        <v>0</v>
      </c>
      <c r="AP58" s="1110">
        <v>0</v>
      </c>
      <c r="AQ58" s="11">
        <v>4</v>
      </c>
      <c r="AR58" s="11">
        <v>115</v>
      </c>
      <c r="AS58" s="68">
        <v>10</v>
      </c>
      <c r="AT58" s="68">
        <v>10</v>
      </c>
      <c r="AU58" s="68">
        <v>10</v>
      </c>
      <c r="AV58" s="68">
        <v>10</v>
      </c>
      <c r="AW58" s="68">
        <v>10</v>
      </c>
      <c r="AX58" s="11">
        <v>23</v>
      </c>
    </row>
  </sheetData>
  <sheetProtection formatColumns="0" formatRows="0" insertRows="0" deleteColumns="0" deleteRows="0" sort="0" autoFilter="0"/>
  <mergeCells count="122">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R7:AR8"/>
    <mergeCell ref="AF15:AF16"/>
    <mergeCell ref="AG15:AG16"/>
    <mergeCell ref="AH15:AH16"/>
    <mergeCell ref="AI15:AI16"/>
    <mergeCell ref="Z7:Z8"/>
    <mergeCell ref="AA7:AA8"/>
    <mergeCell ref="AB7:AB8"/>
    <mergeCell ref="AF7:AF8"/>
    <mergeCell ref="AG7:AG8"/>
    <mergeCell ref="AH7:AH8"/>
    <mergeCell ref="AP7:AP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xr:uid="{00000000-0002-0000-1B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B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3" hidden="1" customWidth="1"/>
    <col min="2" max="2" width="11" style="63" hidden="1" customWidth="1"/>
    <col min="3" max="3" width="10.625" style="63" hidden="1"/>
    <col min="4" max="4" width="12.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506" hidden="1" customWidth="1"/>
    <col min="17" max="17" width="3.75" style="772" hidden="1" customWidth="1"/>
    <col min="18" max="18" width="3" style="29" customWidth="1"/>
    <col min="19" max="19" width="12" style="342" customWidth="1"/>
    <col min="20" max="20" width="31" style="11" customWidth="1"/>
    <col min="21" max="21" width="0.125" style="11" customWidth="1"/>
    <col min="22" max="25" width="21.75" style="11" hidden="1" customWidth="1"/>
    <col min="26" max="26" width="11.75" style="11" hidden="1" customWidth="1"/>
    <col min="27" max="27" width="3.75" style="11" hidden="1" customWidth="1"/>
    <col min="28" max="28" width="11.75" style="11" hidden="1" customWidth="1"/>
    <col min="29" max="29" width="8.625" style="11" hidden="1" customWidth="1"/>
    <col min="30" max="30" width="3.75" style="11" customWidth="1"/>
    <col min="31" max="32" width="3" style="11" customWidth="1"/>
    <col min="33" max="33" width="24" style="11" customWidth="1"/>
    <col min="34" max="34" width="3.75" style="11" customWidth="1"/>
    <col min="35" max="36" width="3" style="11" customWidth="1"/>
    <col min="37" max="37" width="24" style="11" customWidth="1"/>
    <col min="38" max="38" width="3.75" style="11" customWidth="1"/>
    <col min="39" max="40" width="3" style="11" customWidth="1"/>
    <col min="41" max="41" width="18" style="11" customWidth="1"/>
    <col min="42" max="42" width="3.75" style="11" customWidth="1"/>
    <col min="43" max="44" width="3" style="11" customWidth="1"/>
    <col min="45" max="45" width="18" style="11" customWidth="1"/>
    <col min="46" max="49" width="21" style="11" customWidth="1"/>
    <col min="50" max="50" width="11" style="11" customWidth="1"/>
    <col min="51" max="51" width="3.75" style="11" customWidth="1"/>
    <col min="52" max="52" width="11" style="11" customWidth="1"/>
    <col min="53" max="53" width="8.625" style="11" hidden="1" customWidth="1"/>
    <col min="54" max="54" width="4" style="11" customWidth="1"/>
    <col min="55" max="55" width="115" style="11" customWidth="1"/>
    <col min="56" max="60" width="10" style="68" customWidth="1"/>
    <col min="61" max="61" width="10.625" style="11" hidden="1"/>
  </cols>
  <sheetData>
    <row r="1" spans="1:61" ht="22.5" hidden="1" customHeight="1">
      <c r="BI1" s="11" t="s">
        <v>14</v>
      </c>
    </row>
    <row r="2" spans="1:61" ht="21" hidden="1" customHeight="1">
      <c r="A2" s="769"/>
      <c r="B2" s="769"/>
      <c r="C2" s="769"/>
      <c r="D2" s="769"/>
      <c r="E2" s="1294">
        <v>1</v>
      </c>
      <c r="F2" s="769"/>
      <c r="G2" s="769"/>
      <c r="H2" s="769"/>
      <c r="I2" s="769"/>
      <c r="J2" s="769"/>
      <c r="K2" s="769"/>
      <c r="L2" s="770"/>
      <c r="M2" s="426"/>
      <c r="N2" s="426"/>
      <c r="O2" s="426"/>
      <c r="Q2" s="62"/>
      <c r="R2" s="207"/>
      <c r="S2" s="709" t="e">
        <f>INDEX(PT_DIFFERENTIATION_NUM_NTAR,MATCH(A2,PT_DIFFERENTIATION_NTAR_ID,0))</f>
        <v>#N/A</v>
      </c>
      <c r="T2" s="67" t="s">
        <v>124</v>
      </c>
      <c r="U2" s="171"/>
      <c r="V2" s="1289"/>
      <c r="W2" s="1289"/>
      <c r="X2" s="1289"/>
      <c r="Y2" s="1289"/>
      <c r="Z2" s="1289"/>
      <c r="AA2" s="1289"/>
      <c r="AB2" s="1289"/>
      <c r="AC2" s="1290"/>
      <c r="AD2" s="1288" t="e">
        <f>INDEX(PT_DIFFERENTIATION_NTAR,MATCH(A2,PT_DIFFERENTIATION_NTAR_ID,0))</f>
        <v>#N/A</v>
      </c>
      <c r="AE2" s="1289"/>
      <c r="AF2" s="1289"/>
      <c r="AG2" s="1289"/>
      <c r="AH2" s="1289"/>
      <c r="AI2" s="1289"/>
      <c r="AJ2" s="1289"/>
      <c r="AK2" s="1289"/>
      <c r="AL2" s="1289"/>
      <c r="AM2" s="1289"/>
      <c r="AN2" s="1289"/>
      <c r="AO2" s="1289"/>
      <c r="AP2" s="1289"/>
      <c r="AQ2" s="1289"/>
      <c r="AR2" s="1289"/>
      <c r="AS2" s="1289"/>
      <c r="AT2" s="1289"/>
      <c r="AU2" s="1289"/>
      <c r="AV2" s="1289"/>
      <c r="AW2" s="1289"/>
      <c r="AX2" s="1289"/>
      <c r="AY2" s="1289"/>
      <c r="AZ2" s="1289"/>
      <c r="BA2" s="1289"/>
      <c r="BB2" s="129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5"/>
      <c r="F3" s="1294">
        <v>1</v>
      </c>
      <c r="G3" s="769"/>
      <c r="H3" s="769"/>
      <c r="I3" s="769"/>
      <c r="J3" s="769"/>
      <c r="K3" s="769"/>
      <c r="L3" s="770"/>
      <c r="M3" s="426"/>
      <c r="N3" s="426"/>
      <c r="O3" s="426"/>
      <c r="P3" s="301"/>
      <c r="Q3" s="802"/>
      <c r="R3" s="205"/>
      <c r="S3" s="709" t="e">
        <f>INDEX(PT_DIFFERENTIATION_NUM_TER,MATCH(B3,PT_DIFFERENTIATION_TER_ID,0))</f>
        <v>#N/A</v>
      </c>
      <c r="T3" s="177" t="s">
        <v>401</v>
      </c>
      <c r="U3" s="171"/>
      <c r="V3" s="1289"/>
      <c r="W3" s="1289"/>
      <c r="X3" s="1289"/>
      <c r="Y3" s="1289"/>
      <c r="Z3" s="1289"/>
      <c r="AA3" s="1289"/>
      <c r="AB3" s="1289"/>
      <c r="AC3" s="1290"/>
      <c r="AD3" s="1288" t="e">
        <f>INDEX(PT_DIFFERENTIATION_TER,MATCH(B3,PT_DIFFERENTIATION_TER_ID,0))</f>
        <v>#N/A</v>
      </c>
      <c r="AE3" s="1289"/>
      <c r="AF3" s="1289"/>
      <c r="AG3" s="1289"/>
      <c r="AH3" s="1289"/>
      <c r="AI3" s="1289"/>
      <c r="AJ3" s="1289"/>
      <c r="AK3" s="1289"/>
      <c r="AL3" s="1289"/>
      <c r="AM3" s="1289"/>
      <c r="AN3" s="1289"/>
      <c r="AO3" s="1289"/>
      <c r="AP3" s="1289"/>
      <c r="AQ3" s="1289"/>
      <c r="AR3" s="1289"/>
      <c r="AS3" s="1289"/>
      <c r="AT3" s="1289"/>
      <c r="AU3" s="1289"/>
      <c r="AV3" s="1289"/>
      <c r="AW3" s="1289"/>
      <c r="AX3" s="1289"/>
      <c r="AY3" s="1289"/>
      <c r="AZ3" s="1289"/>
      <c r="BA3" s="1289"/>
      <c r="BB3" s="1290"/>
      <c r="BC3" s="729" t="s">
        <v>402</v>
      </c>
      <c r="BE3" s="69"/>
      <c r="BF3" s="69" t="str">
        <f t="shared" si="0"/>
        <v>Территория действия тарифа</v>
      </c>
      <c r="BG3" s="69"/>
      <c r="BH3" s="69"/>
      <c r="BI3" s="11">
        <v>0</v>
      </c>
    </row>
    <row r="4" spans="1:61" ht="33.75" hidden="1" customHeight="1">
      <c r="A4" s="769"/>
      <c r="B4" s="769"/>
      <c r="C4" s="769"/>
      <c r="D4" s="769"/>
      <c r="E4" s="1295"/>
      <c r="F4" s="1295"/>
      <c r="G4" s="1294">
        <v>1</v>
      </c>
      <c r="H4" s="769"/>
      <c r="I4" s="769"/>
      <c r="J4" s="769"/>
      <c r="K4" s="769"/>
      <c r="L4" s="770"/>
      <c r="M4" s="426"/>
      <c r="N4" s="426"/>
      <c r="O4" s="426"/>
      <c r="P4" s="131"/>
      <c r="Q4" s="802"/>
      <c r="R4" s="205"/>
      <c r="S4" s="709" t="e">
        <f>INDEX(PT_DIFFERENTIATION_NUM_CS,MATCH(C4,PT_DIFFERENTIATION_CS_ID,0))</f>
        <v>#N/A</v>
      </c>
      <c r="T4" s="178" t="s">
        <v>517</v>
      </c>
      <c r="U4" s="171"/>
      <c r="V4" s="1289"/>
      <c r="W4" s="1289"/>
      <c r="X4" s="1289"/>
      <c r="Y4" s="1289"/>
      <c r="Z4" s="1289"/>
      <c r="AA4" s="1289"/>
      <c r="AB4" s="1289"/>
      <c r="AC4" s="1290"/>
      <c r="AD4" s="1288" t="e">
        <f>INDEX(PT_DIFFERENTIATION_CS,MATCH(C4,PT_DIFFERENTIATION_CS_ID,0))</f>
        <v>#N/A</v>
      </c>
      <c r="AE4" s="1289"/>
      <c r="AF4" s="1289"/>
      <c r="AG4" s="1289"/>
      <c r="AH4" s="1289"/>
      <c r="AI4" s="1289"/>
      <c r="AJ4" s="1289"/>
      <c r="AK4" s="1289"/>
      <c r="AL4" s="1289"/>
      <c r="AM4" s="1289"/>
      <c r="AN4" s="1289"/>
      <c r="AO4" s="1289"/>
      <c r="AP4" s="1289"/>
      <c r="AQ4" s="1289"/>
      <c r="AR4" s="1289"/>
      <c r="AS4" s="1289"/>
      <c r="AT4" s="1289"/>
      <c r="AU4" s="1289"/>
      <c r="AV4" s="1289"/>
      <c r="AW4" s="1289"/>
      <c r="AX4" s="1289"/>
      <c r="AY4" s="1289"/>
      <c r="AZ4" s="1289"/>
      <c r="BA4" s="1289"/>
      <c r="BB4" s="1290"/>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5"/>
      <c r="F5" s="1295"/>
      <c r="G5" s="1295"/>
      <c r="H5" s="1294">
        <v>1</v>
      </c>
      <c r="I5" s="145"/>
      <c r="J5" s="145"/>
      <c r="K5" s="145"/>
      <c r="L5" s="346"/>
      <c r="M5" s="293"/>
      <c r="N5" s="293"/>
      <c r="O5" s="293"/>
      <c r="P5" s="820"/>
      <c r="Q5" s="821"/>
      <c r="R5" s="209"/>
      <c r="S5" s="362"/>
      <c r="T5" s="822"/>
      <c r="U5" s="780"/>
      <c r="V5" s="1326"/>
      <c r="W5" s="1326"/>
      <c r="X5" s="1326"/>
      <c r="Y5" s="1326"/>
      <c r="Z5" s="1326"/>
      <c r="AA5" s="1326"/>
      <c r="AB5" s="1326"/>
      <c r="AC5" s="1327"/>
      <c r="AD5" s="1325"/>
      <c r="AE5" s="1326"/>
      <c r="AF5" s="1326"/>
      <c r="AG5" s="1326"/>
      <c r="AH5" s="1326"/>
      <c r="AI5" s="1326"/>
      <c r="AJ5" s="1326"/>
      <c r="AK5" s="1326"/>
      <c r="AL5" s="1326"/>
      <c r="AM5" s="1326"/>
      <c r="AN5" s="1326"/>
      <c r="AO5" s="1326"/>
      <c r="AP5" s="1326"/>
      <c r="AQ5" s="1326"/>
      <c r="AR5" s="1326"/>
      <c r="AS5" s="1326"/>
      <c r="AT5" s="1326"/>
      <c r="AU5" s="1326"/>
      <c r="AV5" s="1326"/>
      <c r="AW5" s="1326"/>
      <c r="AX5" s="1326"/>
      <c r="AY5" s="1326"/>
      <c r="AZ5" s="1326"/>
      <c r="BA5" s="1326"/>
      <c r="BB5" s="1327"/>
      <c r="BC5" s="781" t="s">
        <v>406</v>
      </c>
      <c r="BE5" s="69"/>
      <c r="BF5" s="69" t="str">
        <f t="shared" si="0"/>
        <v/>
      </c>
      <c r="BG5" s="69"/>
      <c r="BH5" s="69"/>
      <c r="BI5" s="68">
        <v>0</v>
      </c>
    </row>
    <row r="6" spans="1:61" s="68" customFormat="1" ht="14.25" hidden="1" customHeight="1">
      <c r="A6" s="145"/>
      <c r="B6" s="145"/>
      <c r="C6" s="145"/>
      <c r="D6" s="145"/>
      <c r="E6" s="1295"/>
      <c r="F6" s="1295"/>
      <c r="G6" s="1295"/>
      <c r="H6" s="1295"/>
      <c r="I6" s="1296" t="str">
        <f>S5&amp;".1"</f>
        <v>.1</v>
      </c>
      <c r="J6" s="145"/>
      <c r="K6" s="145"/>
      <c r="L6" s="346" t="s">
        <v>407</v>
      </c>
      <c r="M6" s="290"/>
      <c r="N6" s="290"/>
      <c r="O6" s="290"/>
      <c r="P6" s="1298">
        <v>1</v>
      </c>
      <c r="Q6" s="122"/>
      <c r="R6" s="208"/>
      <c r="S6" s="362"/>
      <c r="T6" s="779"/>
      <c r="U6" s="780"/>
      <c r="V6" s="1326"/>
      <c r="W6" s="1326"/>
      <c r="X6" s="1326"/>
      <c r="Y6" s="1326"/>
      <c r="Z6" s="1326"/>
      <c r="AA6" s="1326"/>
      <c r="AB6" s="1326"/>
      <c r="AC6" s="1327"/>
      <c r="AD6" s="1325"/>
      <c r="AE6" s="1326"/>
      <c r="AF6" s="1326"/>
      <c r="AG6" s="1326"/>
      <c r="AH6" s="1326"/>
      <c r="AI6" s="1326"/>
      <c r="AJ6" s="1326"/>
      <c r="AK6" s="1326"/>
      <c r="AL6" s="1326"/>
      <c r="AM6" s="1326"/>
      <c r="AN6" s="1326"/>
      <c r="AO6" s="1326"/>
      <c r="AP6" s="1326"/>
      <c r="AQ6" s="1326"/>
      <c r="AR6" s="1326"/>
      <c r="AS6" s="1326"/>
      <c r="AT6" s="1326"/>
      <c r="AU6" s="1326"/>
      <c r="AV6" s="1326"/>
      <c r="AW6" s="1326"/>
      <c r="AX6" s="1326"/>
      <c r="AY6" s="1326"/>
      <c r="AZ6" s="1326"/>
      <c r="BA6" s="1326"/>
      <c r="BB6" s="1327"/>
      <c r="BC6" s="781"/>
      <c r="BE6" s="69"/>
      <c r="BF6" s="69" t="str">
        <f t="shared" si="0"/>
        <v/>
      </c>
      <c r="BG6" s="69"/>
      <c r="BH6" s="69"/>
      <c r="BI6" s="68">
        <v>0</v>
      </c>
    </row>
    <row r="7" spans="1:61" s="68" customFormat="1" ht="14.25" hidden="1" customHeight="1">
      <c r="A7" s="145"/>
      <c r="B7" s="145"/>
      <c r="C7" s="145"/>
      <c r="D7" s="145"/>
      <c r="E7" s="1295"/>
      <c r="F7" s="1295"/>
      <c r="G7" s="1295"/>
      <c r="H7" s="1295"/>
      <c r="I7" s="1297"/>
      <c r="J7" s="1296" t="str">
        <f>S5&amp;".1"</f>
        <v>.1</v>
      </c>
      <c r="K7" s="145"/>
      <c r="L7" s="346"/>
      <c r="M7" s="290"/>
      <c r="N7" s="290"/>
      <c r="O7" s="290"/>
      <c r="P7" s="1298"/>
      <c r="Q7" s="1298">
        <v>1</v>
      </c>
      <c r="R7" s="209"/>
      <c r="S7" s="362"/>
      <c r="T7" s="794"/>
      <c r="U7" s="780"/>
      <c r="V7" s="1326"/>
      <c r="W7" s="1326"/>
      <c r="X7" s="1326"/>
      <c r="Y7" s="1326"/>
      <c r="Z7" s="1326"/>
      <c r="AA7" s="1326"/>
      <c r="AB7" s="1326"/>
      <c r="AC7" s="1327"/>
      <c r="AD7" s="1325"/>
      <c r="AE7" s="1326"/>
      <c r="AF7" s="1326"/>
      <c r="AG7" s="1326"/>
      <c r="AH7" s="1326"/>
      <c r="AI7" s="1326"/>
      <c r="AJ7" s="1326"/>
      <c r="AK7" s="1326"/>
      <c r="AL7" s="1326"/>
      <c r="AM7" s="1326"/>
      <c r="AN7" s="1326"/>
      <c r="AO7" s="1326"/>
      <c r="AP7" s="1326"/>
      <c r="AQ7" s="1326"/>
      <c r="AR7" s="1326"/>
      <c r="AS7" s="1326"/>
      <c r="AT7" s="1326"/>
      <c r="AU7" s="1326"/>
      <c r="AV7" s="1326"/>
      <c r="AW7" s="1326"/>
      <c r="AX7" s="1326"/>
      <c r="AY7" s="1326"/>
      <c r="AZ7" s="1326"/>
      <c r="BA7" s="1326"/>
      <c r="BB7" s="1327"/>
      <c r="BC7" s="781"/>
      <c r="BE7" s="69"/>
      <c r="BF7" s="69" t="str">
        <f t="shared" si="0"/>
        <v/>
      </c>
      <c r="BG7" s="69"/>
      <c r="BH7" s="69"/>
      <c r="BI7" s="68">
        <v>0</v>
      </c>
    </row>
    <row r="8" spans="1:61" ht="11.25" hidden="1" customHeight="1">
      <c r="A8" s="769"/>
      <c r="B8" s="769"/>
      <c r="C8" s="769"/>
      <c r="D8" s="769"/>
      <c r="E8" s="1295"/>
      <c r="F8" s="1295"/>
      <c r="G8" s="1295"/>
      <c r="H8" s="1295"/>
      <c r="I8" s="1297"/>
      <c r="J8" s="1297"/>
      <c r="K8" s="1296" t="e">
        <f>S4&amp;".1"</f>
        <v>#N/A</v>
      </c>
      <c r="L8" s="770"/>
      <c r="P8" s="1298"/>
      <c r="Q8" s="1298"/>
      <c r="R8" s="1354">
        <v>1</v>
      </c>
      <c r="S8" s="1351" t="e">
        <f>$K8</f>
        <v>#N/A</v>
      </c>
      <c r="T8" s="1371"/>
      <c r="U8" s="171"/>
      <c r="V8" s="306"/>
      <c r="W8" s="728"/>
      <c r="X8" s="306"/>
      <c r="Y8" s="728"/>
      <c r="Z8" s="943"/>
      <c r="AA8" s="297" t="s">
        <v>67</v>
      </c>
      <c r="AB8" s="943"/>
      <c r="AC8" s="297" t="s">
        <v>67</v>
      </c>
      <c r="AD8" s="1224" t="s">
        <v>67</v>
      </c>
      <c r="AE8" s="1347"/>
      <c r="AF8" s="1251">
        <v>1</v>
      </c>
      <c r="AG8" s="1370"/>
      <c r="AH8" s="1168" t="s">
        <v>67</v>
      </c>
      <c r="AI8" s="1347"/>
      <c r="AJ8" s="1251">
        <v>1</v>
      </c>
      <c r="AK8" s="1361" t="s">
        <v>28</v>
      </c>
      <c r="AL8" s="1168" t="s">
        <v>67</v>
      </c>
      <c r="AM8" s="1228"/>
      <c r="AN8" s="1251">
        <v>1</v>
      </c>
      <c r="AO8" s="1374"/>
      <c r="AP8" s="1375" t="s">
        <v>67</v>
      </c>
      <c r="AQ8" s="180"/>
      <c r="AR8" s="268">
        <v>1</v>
      </c>
      <c r="AS8" s="119" t="s">
        <v>28</v>
      </c>
      <c r="AT8" s="306"/>
      <c r="AU8" s="728"/>
      <c r="AV8" s="306"/>
      <c r="AW8" s="728"/>
      <c r="AX8" s="943"/>
      <c r="AY8" s="297" t="s">
        <v>67</v>
      </c>
      <c r="AZ8" s="943"/>
      <c r="BA8" s="297" t="s">
        <v>67</v>
      </c>
      <c r="BB8" s="766"/>
      <c r="BC8" s="1317" t="s">
        <v>502</v>
      </c>
      <c r="BE8" s="69"/>
      <c r="BF8" s="69" t="str">
        <f t="shared" si="0"/>
        <v/>
      </c>
      <c r="BG8" s="69"/>
      <c r="BH8" s="69"/>
      <c r="BI8" s="11">
        <v>0</v>
      </c>
    </row>
    <row r="9" spans="1:61" ht="11.25" hidden="1" customHeight="1">
      <c r="A9" s="769"/>
      <c r="B9" s="769"/>
      <c r="C9" s="769"/>
      <c r="D9" s="769"/>
      <c r="E9" s="1295"/>
      <c r="F9" s="1295"/>
      <c r="G9" s="1295"/>
      <c r="H9" s="1295"/>
      <c r="I9" s="1297"/>
      <c r="J9" s="1297"/>
      <c r="K9" s="1296"/>
      <c r="L9" s="770"/>
      <c r="P9" s="1298"/>
      <c r="Q9" s="1298"/>
      <c r="R9" s="1354"/>
      <c r="S9" s="1352"/>
      <c r="T9" s="1372"/>
      <c r="U9" s="171"/>
      <c r="V9" s="789"/>
      <c r="W9" s="819"/>
      <c r="X9" s="789"/>
      <c r="Y9" s="819"/>
      <c r="Z9" s="789"/>
      <c r="AA9" s="789"/>
      <c r="AB9" s="789"/>
      <c r="AC9" s="789"/>
      <c r="AD9" s="1225"/>
      <c r="AE9" s="1347"/>
      <c r="AF9" s="1251"/>
      <c r="AG9" s="1370"/>
      <c r="AH9" s="1168"/>
      <c r="AI9" s="1347"/>
      <c r="AJ9" s="1251"/>
      <c r="AK9" s="1361"/>
      <c r="AL9" s="1168"/>
      <c r="AM9" s="1233"/>
      <c r="AN9" s="1251"/>
      <c r="AO9" s="1374"/>
      <c r="AP9" s="1376"/>
      <c r="AQ9" s="184"/>
      <c r="AR9" s="52"/>
      <c r="AS9" s="52" t="s">
        <v>503</v>
      </c>
      <c r="AT9" s="789"/>
      <c r="AU9" s="819"/>
      <c r="AV9" s="789"/>
      <c r="AW9" s="819"/>
      <c r="AX9" s="789"/>
      <c r="AY9" s="789"/>
      <c r="AZ9" s="789"/>
      <c r="BA9" s="789"/>
      <c r="BB9" s="793"/>
      <c r="BC9" s="1318"/>
      <c r="BE9" s="69"/>
      <c r="BF9" s="69"/>
      <c r="BG9" s="69"/>
      <c r="BH9" s="69"/>
      <c r="BI9" s="11">
        <v>0</v>
      </c>
    </row>
    <row r="10" spans="1:61" ht="11.25" hidden="1" customHeight="1">
      <c r="A10" s="769"/>
      <c r="B10" s="769"/>
      <c r="C10" s="769"/>
      <c r="D10" s="769"/>
      <c r="E10" s="1295"/>
      <c r="F10" s="1295"/>
      <c r="G10" s="1295"/>
      <c r="H10" s="1295"/>
      <c r="I10" s="1297"/>
      <c r="J10" s="1297"/>
      <c r="K10" s="1296"/>
      <c r="L10" s="770"/>
      <c r="P10" s="1298"/>
      <c r="Q10" s="1298"/>
      <c r="R10" s="1354"/>
      <c r="S10" s="1352"/>
      <c r="T10" s="1372"/>
      <c r="U10" s="171"/>
      <c r="V10" s="789"/>
      <c r="W10" s="819"/>
      <c r="X10" s="789"/>
      <c r="Y10" s="819"/>
      <c r="Z10" s="789"/>
      <c r="AA10" s="789"/>
      <c r="AB10" s="789"/>
      <c r="AC10" s="789"/>
      <c r="AD10" s="1225"/>
      <c r="AE10" s="1347"/>
      <c r="AF10" s="1251"/>
      <c r="AG10" s="1370"/>
      <c r="AH10" s="1168"/>
      <c r="AI10" s="1347"/>
      <c r="AJ10" s="1251"/>
      <c r="AK10" s="1361"/>
      <c r="AL10" s="1168"/>
      <c r="AM10" s="184"/>
      <c r="AN10" s="823"/>
      <c r="AO10" s="823" t="s">
        <v>525</v>
      </c>
      <c r="AP10" s="52"/>
      <c r="AQ10" s="52"/>
      <c r="AR10" s="52"/>
      <c r="AS10" s="789"/>
      <c r="AT10" s="789"/>
      <c r="AU10" s="819"/>
      <c r="AV10" s="789"/>
      <c r="AW10" s="819"/>
      <c r="AX10" s="789"/>
      <c r="AY10" s="789"/>
      <c r="AZ10" s="789"/>
      <c r="BA10" s="789"/>
      <c r="BB10" s="793"/>
      <c r="BC10" s="1318"/>
      <c r="BE10" s="69"/>
      <c r="BF10" s="69"/>
      <c r="BG10" s="69"/>
      <c r="BH10" s="69"/>
      <c r="BI10" s="11">
        <v>0</v>
      </c>
    </row>
    <row r="11" spans="1:61" ht="11.25" hidden="1" customHeight="1">
      <c r="A11" s="769"/>
      <c r="B11" s="769"/>
      <c r="C11" s="769"/>
      <c r="D11" s="769"/>
      <c r="E11" s="1295"/>
      <c r="F11" s="1295"/>
      <c r="G11" s="1295"/>
      <c r="H11" s="1295"/>
      <c r="I11" s="1297"/>
      <c r="J11" s="1297"/>
      <c r="K11" s="1296"/>
      <c r="L11" s="770"/>
      <c r="P11" s="1298"/>
      <c r="Q11" s="1298"/>
      <c r="R11" s="1354"/>
      <c r="S11" s="1352"/>
      <c r="T11" s="1372"/>
      <c r="U11" s="171"/>
      <c r="V11" s="789"/>
      <c r="W11" s="819"/>
      <c r="X11" s="789"/>
      <c r="Y11" s="819"/>
      <c r="Z11" s="789"/>
      <c r="AA11" s="789"/>
      <c r="AB11" s="789"/>
      <c r="AC11" s="789"/>
      <c r="AD11" s="1225"/>
      <c r="AE11" s="1347"/>
      <c r="AF11" s="1251"/>
      <c r="AG11" s="1370"/>
      <c r="AH11" s="1168"/>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18"/>
      <c r="BE11" s="69"/>
      <c r="BF11" s="69"/>
      <c r="BG11" s="69"/>
      <c r="BH11" s="69"/>
      <c r="BI11" s="11">
        <v>0</v>
      </c>
    </row>
    <row r="12" spans="1:61" ht="11.25" hidden="1" customHeight="1">
      <c r="A12" s="769"/>
      <c r="B12" s="769"/>
      <c r="C12" s="769"/>
      <c r="D12" s="769"/>
      <c r="E12" s="1295"/>
      <c r="F12" s="1295"/>
      <c r="G12" s="1295"/>
      <c r="H12" s="1295"/>
      <c r="I12" s="1297"/>
      <c r="J12" s="1297"/>
      <c r="K12" s="1296"/>
      <c r="L12" s="770"/>
      <c r="P12" s="1298"/>
      <c r="Q12" s="1298"/>
      <c r="R12" s="1354"/>
      <c r="S12" s="1353"/>
      <c r="T12" s="1373"/>
      <c r="U12" s="171"/>
      <c r="V12" s="789"/>
      <c r="W12" s="790" t="str">
        <f>Z8&amp;"-"&amp;AB8</f>
        <v>-</v>
      </c>
      <c r="X12" s="789"/>
      <c r="Y12" s="790" t="str">
        <f>AB8&amp;"-"&amp;AD8</f>
        <v>-да</v>
      </c>
      <c r="Z12" s="789"/>
      <c r="AA12" s="789"/>
      <c r="AB12" s="789"/>
      <c r="AC12" s="789"/>
      <c r="AD12" s="1173"/>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8"/>
      <c r="BE12" s="69"/>
      <c r="BF12" s="69" t="str">
        <f t="shared" ref="BF12:BF18" si="1">IF(T12="","",T12)</f>
        <v/>
      </c>
      <c r="BG12" s="69"/>
      <c r="BH12" s="69"/>
      <c r="BI12" s="11">
        <v>0</v>
      </c>
    </row>
    <row r="13" spans="1:61" ht="11.25" hidden="1" customHeight="1">
      <c r="A13" s="769"/>
      <c r="B13" s="769"/>
      <c r="C13" s="769"/>
      <c r="D13" s="769"/>
      <c r="E13" s="1295"/>
      <c r="F13" s="1295"/>
      <c r="G13" s="1295"/>
      <c r="H13" s="1295"/>
      <c r="I13" s="1297"/>
      <c r="J13" s="1296"/>
      <c r="K13" s="769"/>
      <c r="L13" s="770"/>
      <c r="P13" s="1298"/>
      <c r="Q13" s="129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9"/>
      <c r="BE13" s="69"/>
      <c r="BF13" s="69" t="str">
        <f t="shared" si="1"/>
        <v>Добавить строку</v>
      </c>
      <c r="BG13" s="69"/>
      <c r="BH13" s="69"/>
      <c r="BI13" s="11">
        <v>0</v>
      </c>
    </row>
    <row r="14" spans="1:61" s="68" customFormat="1" ht="14.25" hidden="1" customHeight="1">
      <c r="A14" s="145"/>
      <c r="B14" s="145"/>
      <c r="C14" s="145"/>
      <c r="D14" s="145"/>
      <c r="E14" s="1295"/>
      <c r="F14" s="1295"/>
      <c r="G14" s="1295"/>
      <c r="H14" s="1295"/>
      <c r="I14" s="1296"/>
      <c r="J14" s="145"/>
      <c r="K14" s="145"/>
      <c r="L14" s="346"/>
      <c r="M14" s="290"/>
      <c r="N14" s="290"/>
      <c r="O14" s="290"/>
      <c r="P14" s="129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5"/>
      <c r="F15" s="1295"/>
      <c r="G15" s="1295"/>
      <c r="H15" s="129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5"/>
      <c r="F16" s="1295"/>
      <c r="G16" s="129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5"/>
      <c r="F17" s="1294"/>
      <c r="G17" s="145"/>
      <c r="H17" s="145"/>
      <c r="I17" s="145"/>
      <c r="J17" s="145"/>
      <c r="K17" s="145"/>
      <c r="L17" s="346"/>
      <c r="M17" s="759"/>
      <c r="N17" s="759"/>
      <c r="P17" s="104"/>
      <c r="Q17" s="755"/>
      <c r="R17" s="104"/>
      <c r="S17" s="760"/>
      <c r="T17" s="762" t="s">
        <v>275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4"/>
      <c r="F18" s="145"/>
      <c r="G18" s="145"/>
      <c r="H18" s="145"/>
      <c r="I18" s="145"/>
      <c r="J18" s="145"/>
      <c r="K18" s="145"/>
      <c r="L18" s="346"/>
      <c r="M18" s="759"/>
      <c r="N18" s="759"/>
      <c r="P18" s="104"/>
      <c r="Q18" s="755"/>
      <c r="R18" s="104"/>
      <c r="S18" s="760"/>
      <c r="T18" s="762" t="s">
        <v>276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67</v>
      </c>
      <c r="AZ20" s="945"/>
      <c r="BA20" s="816" t="s">
        <v>67</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507</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7" customHeight="1">
      <c r="Q27" s="168"/>
      <c r="R27" s="28"/>
      <c r="S27" s="739"/>
      <c r="T27" s="10"/>
      <c r="U27" s="10"/>
      <c r="BI27" s="11">
        <v>14</v>
      </c>
    </row>
    <row r="28" spans="1:61" ht="14.7" customHeight="1">
      <c r="Q28" s="168"/>
      <c r="R28" s="28"/>
      <c r="S28" s="127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75"/>
      <c r="U28" s="1275"/>
      <c r="V28" s="1275"/>
      <c r="W28" s="1275"/>
      <c r="X28" s="1275"/>
      <c r="Y28" s="1275"/>
      <c r="Z28" s="1275"/>
      <c r="AA28" s="1275"/>
      <c r="AB28" s="1275"/>
      <c r="AC28" s="1275"/>
      <c r="AD28" s="1275"/>
      <c r="AE28" s="1275"/>
      <c r="AF28" s="1275"/>
      <c r="AG28" s="1275"/>
      <c r="AH28" s="1275"/>
      <c r="AI28" s="1275"/>
      <c r="AJ28" s="1275"/>
      <c r="AK28" s="1275"/>
      <c r="AL28" s="1275"/>
      <c r="AM28" s="1275"/>
      <c r="AN28" s="1275"/>
      <c r="AO28" s="1275"/>
      <c r="AP28" s="1275"/>
      <c r="AQ28" s="1275"/>
      <c r="AR28" s="1275"/>
      <c r="AS28" s="1275"/>
      <c r="AT28" s="1275"/>
      <c r="AU28" s="1275"/>
      <c r="AV28" s="1275"/>
      <c r="AW28" s="1275"/>
      <c r="AX28" s="1275"/>
      <c r="AY28" s="1275"/>
      <c r="AZ28" s="1275"/>
      <c r="BA28" s="59"/>
      <c r="BI28" s="11">
        <v>14</v>
      </c>
    </row>
    <row r="29" spans="1:61" ht="14.7" customHeight="1">
      <c r="Q29" s="168"/>
      <c r="R29" s="28"/>
      <c r="S29" s="1247" t="str">
        <f>IF(org=0,"Не определено",org)</f>
        <v>АО "Юграавиа"</v>
      </c>
      <c r="T29" s="1247"/>
      <c r="U29" s="1247"/>
      <c r="V29" s="1247"/>
      <c r="W29" s="1247"/>
      <c r="X29" s="1247"/>
      <c r="Y29" s="1247"/>
      <c r="Z29" s="1247"/>
      <c r="AA29" s="1247"/>
      <c r="AB29" s="1247"/>
      <c r="AC29" s="1247"/>
      <c r="AD29" s="1247"/>
      <c r="AE29" s="1247"/>
      <c r="AF29" s="1247"/>
      <c r="AG29" s="1247"/>
      <c r="AH29" s="1247"/>
      <c r="AI29" s="1247"/>
      <c r="AJ29" s="1247"/>
      <c r="AK29" s="1247"/>
      <c r="AL29" s="1247"/>
      <c r="AM29" s="1247"/>
      <c r="AN29" s="1247"/>
      <c r="AO29" s="1247"/>
      <c r="AP29" s="1247"/>
      <c r="AQ29" s="1247"/>
      <c r="AR29" s="1247"/>
      <c r="AS29" s="1247"/>
      <c r="AT29" s="1247"/>
      <c r="AU29" s="1247"/>
      <c r="AV29" s="1247"/>
      <c r="AW29" s="1247"/>
      <c r="AX29" s="1247"/>
      <c r="AY29" s="1247"/>
      <c r="AZ29" s="1247"/>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5" t="s">
        <v>42</v>
      </c>
      <c r="T31" s="1285"/>
      <c r="U31" s="773"/>
      <c r="V31" s="1287" t="str">
        <f>IF(TITLE_NAME_OR_PR_CHANGE="",IF(TITLE_NAME_OR_PR="","",TITLE_NAME_OR_PR),TITLE_NAME_OR_PR_CHANGE)</f>
        <v>Региональная служба по тарифам Ханты-Мансийского автономного округа – Югры (РСТ Югры)</v>
      </c>
      <c r="W31" s="1287"/>
      <c r="X31" s="1287"/>
      <c r="Y31" s="1287"/>
      <c r="Z31" s="1287"/>
      <c r="AA31" s="1287"/>
      <c r="AB31" s="1287"/>
      <c r="AC31" s="11"/>
      <c r="AD31" s="1287" t="str">
        <f>IF(TITLE_NAME_OR_PR_CHANGE="",IF(TITLE_NAME_OR_PR="","",TITLE_NAME_OR_PR),TITLE_NAME_OR_PR_CHANGE)</f>
        <v>Региональная служба по тарифам Ханты-Мансийского автономного округа – Югры (РСТ Югры)</v>
      </c>
      <c r="AE31" s="1287"/>
      <c r="AF31" s="1287"/>
      <c r="AG31" s="1287"/>
      <c r="AH31" s="1287"/>
      <c r="AI31" s="1287"/>
      <c r="AJ31" s="1287"/>
      <c r="AK31" s="1287"/>
      <c r="AL31" s="1287"/>
      <c r="AM31" s="1287"/>
      <c r="AN31" s="1287"/>
      <c r="AO31" s="1287"/>
      <c r="AP31" s="1287"/>
      <c r="AQ31" s="1287"/>
      <c r="AR31" s="1287"/>
      <c r="AS31" s="1287"/>
      <c r="AT31" s="1287"/>
      <c r="AU31" s="1287"/>
      <c r="AV31" s="1287"/>
      <c r="AW31" s="1287"/>
      <c r="AX31" s="1287"/>
      <c r="AY31" s="1287"/>
      <c r="AZ31" s="1287"/>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5" t="s">
        <v>425</v>
      </c>
      <c r="T32" s="1285"/>
      <c r="U32" s="773"/>
      <c r="V32" s="1286">
        <f>IF(TITLE_DATE_PR_CHANGE="",IF(TITLE_DATE_PR="","",TITLE_DATE_PR),TITLE_DATE_PR_CHANGE)</f>
        <v>45999</v>
      </c>
      <c r="W32" s="1286"/>
      <c r="X32" s="1286"/>
      <c r="Y32" s="1286"/>
      <c r="Z32" s="1286"/>
      <c r="AA32" s="1286"/>
      <c r="AB32" s="1286"/>
      <c r="AC32" s="11"/>
      <c r="AD32" s="1286">
        <f>IF(TITLE_DATE_PR_CHANGE="",IF(TITLE_DATE_PR="","",TITLE_DATE_PR),TITLE_DATE_PR_CHANGE)</f>
        <v>45999</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5" t="s">
        <v>426</v>
      </c>
      <c r="T33" s="1285"/>
      <c r="U33" s="773"/>
      <c r="V33" s="1287" t="str">
        <f>IF(TITLE_NUMBER_PR_CHANGE="",IF(TITLE_NUMBER_PR="","",TITLE_NUMBER_PR),TITLE_NUMBER_PR_CHANGE)</f>
        <v>94-нп</v>
      </c>
      <c r="W33" s="1287"/>
      <c r="X33" s="1287"/>
      <c r="Y33" s="1287"/>
      <c r="Z33" s="1287"/>
      <c r="AA33" s="1287"/>
      <c r="AB33" s="1287"/>
      <c r="AC33" s="11"/>
      <c r="AD33" s="1287" t="str">
        <f>IF(TITLE_NUMBER_PR_CHANGE="",IF(TITLE_NUMBER_PR="","",TITLE_NUMBER_PR),TITLE_NUMBER_PR_CHANGE)</f>
        <v>94-нп</v>
      </c>
      <c r="AE33" s="1287"/>
      <c r="AF33" s="1287"/>
      <c r="AG33" s="1287"/>
      <c r="AH33" s="1287"/>
      <c r="AI33" s="1287"/>
      <c r="AJ33" s="1287"/>
      <c r="AK33" s="1287"/>
      <c r="AL33" s="1287"/>
      <c r="AM33" s="1287"/>
      <c r="AN33" s="1287"/>
      <c r="AO33" s="1287"/>
      <c r="AP33" s="1287"/>
      <c r="AQ33" s="1287"/>
      <c r="AR33" s="1287"/>
      <c r="AS33" s="1287"/>
      <c r="AT33" s="1287"/>
      <c r="AU33" s="1287"/>
      <c r="AV33" s="1287"/>
      <c r="AW33" s="1287"/>
      <c r="AX33" s="1287"/>
      <c r="AY33" s="1287"/>
      <c r="AZ33" s="1287"/>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5" t="s">
        <v>44</v>
      </c>
      <c r="T34" s="1285"/>
      <c r="U34" s="773"/>
      <c r="V34" s="1287" t="str">
        <f>IF(TITLE_IST_PUB_CHANGE="",IF(TITLE_IST_PUB="","",TITLE_IST_PUB),TITLE_IST_PUB_CHANGE)</f>
        <v>«Официальный интернет-портал правовой информации» (www.pravo.gov.ru)</v>
      </c>
      <c r="W34" s="1287"/>
      <c r="X34" s="1287"/>
      <c r="Y34" s="1287"/>
      <c r="Z34" s="1287"/>
      <c r="AA34" s="1287"/>
      <c r="AB34" s="1287"/>
      <c r="AC34" s="11"/>
      <c r="AD34" s="1287" t="str">
        <f>IF(TITLE_IST_PUB_CHANGE="",IF(TITLE_IST_PUB="","",TITLE_IST_PUB),TITLE_IST_PUB_CHANGE)</f>
        <v>«Официальный интернет-портал правовой информации» (www.pravo.gov.ru)</v>
      </c>
      <c r="AE34" s="1287"/>
      <c r="AF34" s="1287"/>
      <c r="AG34" s="1287"/>
      <c r="AH34" s="1287"/>
      <c r="AI34" s="1287"/>
      <c r="AJ34" s="1287"/>
      <c r="AK34" s="1287"/>
      <c r="AL34" s="1287"/>
      <c r="AM34" s="1287"/>
      <c r="AN34" s="1287"/>
      <c r="AO34" s="1287"/>
      <c r="AP34" s="1287"/>
      <c r="AQ34" s="1287"/>
      <c r="AR34" s="1287"/>
      <c r="AS34" s="1287"/>
      <c r="AT34" s="1287"/>
      <c r="AU34" s="1287"/>
      <c r="AV34" s="1287"/>
      <c r="AW34" s="1287"/>
      <c r="AX34" s="1287"/>
      <c r="AY34" s="1287"/>
      <c r="AZ34" s="128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5" t="s">
        <v>425</v>
      </c>
      <c r="T36" s="1285"/>
      <c r="U36" s="773"/>
      <c r="V36" s="1286">
        <f>IF(TITLE_DATE_PR_CHANGE="",IF(TITLE_DATE_PR="","",TITLE_DATE_PR),TITLE_DATE_PR_CHANGE)</f>
        <v>45999</v>
      </c>
      <c r="W36" s="1286"/>
      <c r="X36" s="1286"/>
      <c r="Y36" s="1286"/>
      <c r="Z36" s="1286"/>
      <c r="AA36" s="1286"/>
      <c r="AB36" s="1286"/>
      <c r="AC36" s="11"/>
      <c r="AD36" s="1286">
        <f>IF(TITLE_DATE_PR_CHANGE="",IF(TITLE_DATE_PR="","",TITLE_DATE_PR),TITLE_DATE_PR_CHANGE)</f>
        <v>45999</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5" t="s">
        <v>426</v>
      </c>
      <c r="T37" s="1285"/>
      <c r="U37" s="773"/>
      <c r="V37" s="1287" t="str">
        <f>IF(TITLE_NUMBER_PR_CHANGE="",IF(TITLE_NUMBER_PR="","",TITLE_NUMBER_PR),TITLE_NUMBER_PR_CHANGE)</f>
        <v>94-нп</v>
      </c>
      <c r="W37" s="1287"/>
      <c r="X37" s="1287"/>
      <c r="Y37" s="1287"/>
      <c r="Z37" s="1287"/>
      <c r="AA37" s="1287"/>
      <c r="AB37" s="1287"/>
      <c r="AC37" s="11"/>
      <c r="AD37" s="1287" t="str">
        <f>IF(TITLE_NUMBER_PR_CHANGE="",IF(TITLE_NUMBER_PR="","",TITLE_NUMBER_PR),TITLE_NUMBER_PR_CHANGE)</f>
        <v>94-нп</v>
      </c>
      <c r="AE37" s="1287"/>
      <c r="AF37" s="1287"/>
      <c r="AG37" s="1287"/>
      <c r="AH37" s="1287"/>
      <c r="AI37" s="1287"/>
      <c r="AJ37" s="1287"/>
      <c r="AK37" s="1287"/>
      <c r="AL37" s="1287"/>
      <c r="AM37" s="1287"/>
      <c r="AN37" s="1287"/>
      <c r="AO37" s="1287"/>
      <c r="AP37" s="1287"/>
      <c r="AQ37" s="1287"/>
      <c r="AR37" s="1287"/>
      <c r="AS37" s="1287"/>
      <c r="AT37" s="1287"/>
      <c r="AU37" s="1287"/>
      <c r="AV37" s="1287"/>
      <c r="AW37" s="1287"/>
      <c r="AX37" s="1287"/>
      <c r="AY37" s="1287"/>
      <c r="AZ37" s="128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7" customHeight="1">
      <c r="Q39" s="168"/>
      <c r="R39" s="28"/>
      <c r="S39" s="739"/>
      <c r="T39" s="10"/>
      <c r="U39" s="720"/>
      <c r="V39" s="1306"/>
      <c r="W39" s="1306"/>
      <c r="X39" s="1306"/>
      <c r="Y39" s="1306"/>
      <c r="Z39" s="1306"/>
      <c r="AA39" s="1306"/>
      <c r="AB39" s="1306"/>
      <c r="AC39" s="1306"/>
      <c r="AD39" s="1306"/>
      <c r="AE39" s="1306"/>
      <c r="AF39" s="1306"/>
      <c r="AG39" s="1306"/>
      <c r="AH39" s="1306"/>
      <c r="AI39" s="1306"/>
      <c r="AJ39" s="1306"/>
      <c r="AK39" s="1306"/>
      <c r="AL39" s="1306"/>
      <c r="AM39" s="1306"/>
      <c r="AN39" s="1306"/>
      <c r="AO39" s="1306"/>
      <c r="AP39" s="1306"/>
      <c r="AQ39" s="1306"/>
      <c r="AR39" s="1306"/>
      <c r="AS39" s="1306"/>
      <c r="AT39" s="1306"/>
      <c r="AU39" s="1306"/>
      <c r="AV39" s="1306"/>
      <c r="AW39" s="1306"/>
      <c r="AX39" s="1306"/>
      <c r="AY39" s="1306"/>
      <c r="AZ39" s="1306"/>
      <c r="BA39" s="1306"/>
      <c r="BI39" s="11">
        <v>14</v>
      </c>
    </row>
    <row r="40" spans="1:61" ht="14.7" customHeight="1">
      <c r="Q40" s="168"/>
      <c r="R40" s="28"/>
      <c r="S40" s="1158" t="s">
        <v>304</v>
      </c>
      <c r="T40" s="1158"/>
      <c r="U40" s="1158"/>
      <c r="V40" s="1158"/>
      <c r="W40" s="1158"/>
      <c r="X40" s="1158"/>
      <c r="Y40" s="1158"/>
      <c r="Z40" s="1158"/>
      <c r="AA40" s="1158"/>
      <c r="AB40" s="1158"/>
      <c r="AC40" s="1158"/>
      <c r="AD40" s="1158"/>
      <c r="AE40" s="1158"/>
      <c r="AF40" s="1158"/>
      <c r="AG40" s="1158"/>
      <c r="AH40" s="1158"/>
      <c r="AI40" s="1158"/>
      <c r="AJ40" s="1158"/>
      <c r="AK40" s="1158"/>
      <c r="AL40" s="1158"/>
      <c r="AM40" s="1158"/>
      <c r="AN40" s="1158"/>
      <c r="AO40" s="1158"/>
      <c r="AP40" s="1158"/>
      <c r="AQ40" s="1158"/>
      <c r="AR40" s="1158"/>
      <c r="AS40" s="1158"/>
      <c r="AT40" s="1158"/>
      <c r="AU40" s="1158"/>
      <c r="AV40" s="1158"/>
      <c r="AW40" s="1158"/>
      <c r="AX40" s="1158"/>
      <c r="AY40" s="1158"/>
      <c r="AZ40" s="1158"/>
      <c r="BA40" s="1158"/>
      <c r="BB40" s="1158"/>
      <c r="BC40" s="1158" t="s">
        <v>305</v>
      </c>
      <c r="BI40" s="11">
        <v>14</v>
      </c>
    </row>
    <row r="41" spans="1:61" ht="14.7" customHeight="1">
      <c r="Q41" s="168"/>
      <c r="R41" s="28"/>
      <c r="S41" s="1307" t="s">
        <v>89</v>
      </c>
      <c r="T41" s="1255" t="s">
        <v>508</v>
      </c>
      <c r="U41" s="172"/>
      <c r="V41" s="1308" t="s">
        <v>431</v>
      </c>
      <c r="W41" s="1309"/>
      <c r="X41" s="1309"/>
      <c r="Y41" s="1309"/>
      <c r="Z41" s="1309"/>
      <c r="AA41" s="1309"/>
      <c r="AB41" s="1310"/>
      <c r="AC41" s="1311" t="s">
        <v>432</v>
      </c>
      <c r="AD41" s="1340" t="s">
        <v>527</v>
      </c>
      <c r="AE41" s="1324"/>
      <c r="AF41" s="1324"/>
      <c r="AG41" s="1341"/>
      <c r="AH41" s="1340" t="s">
        <v>528</v>
      </c>
      <c r="AI41" s="1324"/>
      <c r="AJ41" s="1324"/>
      <c r="AK41" s="1341"/>
      <c r="AL41" s="1340" t="s">
        <v>529</v>
      </c>
      <c r="AM41" s="1324"/>
      <c r="AN41" s="1324"/>
      <c r="AO41" s="1341"/>
      <c r="AP41" s="1340" t="s">
        <v>512</v>
      </c>
      <c r="AQ41" s="1324"/>
      <c r="AR41" s="1324"/>
      <c r="AS41" s="1341"/>
      <c r="AT41" s="1308" t="s">
        <v>431</v>
      </c>
      <c r="AU41" s="1309"/>
      <c r="AV41" s="1309"/>
      <c r="AW41" s="1309"/>
      <c r="AX41" s="1309"/>
      <c r="AY41" s="1309"/>
      <c r="AZ41" s="1310"/>
      <c r="BA41" s="1311" t="s">
        <v>432</v>
      </c>
      <c r="BB41" s="1314" t="s">
        <v>434</v>
      </c>
      <c r="BC41" s="1158"/>
      <c r="BI41" s="11">
        <v>14</v>
      </c>
    </row>
    <row r="42" spans="1:61" ht="35.700000000000003" customHeight="1">
      <c r="Q42" s="168"/>
      <c r="R42" s="28"/>
      <c r="S42" s="1307"/>
      <c r="T42" s="1255"/>
      <c r="U42" s="607"/>
      <c r="V42" s="1228" t="s">
        <v>513</v>
      </c>
      <c r="W42" s="1229"/>
      <c r="X42" s="1228" t="s">
        <v>514</v>
      </c>
      <c r="Y42" s="1229"/>
      <c r="Z42" s="1228" t="s">
        <v>515</v>
      </c>
      <c r="AA42" s="1336"/>
      <c r="AB42" s="1229"/>
      <c r="AC42" s="1312"/>
      <c r="AD42" s="1342"/>
      <c r="AE42" s="1343"/>
      <c r="AF42" s="1343"/>
      <c r="AG42" s="1355"/>
      <c r="AH42" s="1342"/>
      <c r="AI42" s="1343"/>
      <c r="AJ42" s="1343"/>
      <c r="AK42" s="1355"/>
      <c r="AL42" s="1342"/>
      <c r="AM42" s="1343"/>
      <c r="AN42" s="1343"/>
      <c r="AO42" s="1355"/>
      <c r="AP42" s="1342"/>
      <c r="AQ42" s="1343"/>
      <c r="AR42" s="1343"/>
      <c r="AS42" s="1355"/>
      <c r="AT42" s="1228" t="s">
        <v>530</v>
      </c>
      <c r="AU42" s="1229"/>
      <c r="AV42" s="1228" t="s">
        <v>531</v>
      </c>
      <c r="AW42" s="1229"/>
      <c r="AX42" s="1228" t="s">
        <v>515</v>
      </c>
      <c r="AY42" s="1336"/>
      <c r="AZ42" s="1229"/>
      <c r="BA42" s="1312"/>
      <c r="BB42" s="1315"/>
      <c r="BC42" s="1158"/>
      <c r="BI42" s="11">
        <v>34</v>
      </c>
    </row>
    <row r="43" spans="1:61" ht="14.7" customHeight="1">
      <c r="Q43" s="168"/>
      <c r="R43" s="28"/>
      <c r="S43" s="1307"/>
      <c r="T43" s="1255"/>
      <c r="U43" s="607"/>
      <c r="V43" s="1233"/>
      <c r="W43" s="1234"/>
      <c r="X43" s="1233"/>
      <c r="Y43" s="1234"/>
      <c r="Z43" s="1233"/>
      <c r="AA43" s="1337"/>
      <c r="AB43" s="1234"/>
      <c r="AC43" s="1312"/>
      <c r="AD43" s="1342"/>
      <c r="AE43" s="1343"/>
      <c r="AF43" s="1343"/>
      <c r="AG43" s="1355"/>
      <c r="AH43" s="1342"/>
      <c r="AI43" s="1343"/>
      <c r="AJ43" s="1343"/>
      <c r="AK43" s="1355"/>
      <c r="AL43" s="1342"/>
      <c r="AM43" s="1343"/>
      <c r="AN43" s="1343"/>
      <c r="AO43" s="1355"/>
      <c r="AP43" s="1342"/>
      <c r="AQ43" s="1343"/>
      <c r="AR43" s="1343"/>
      <c r="AS43" s="1355"/>
      <c r="AT43" s="1233"/>
      <c r="AU43" s="1234"/>
      <c r="AV43" s="1233"/>
      <c r="AW43" s="1234"/>
      <c r="AX43" s="1233"/>
      <c r="AY43" s="1337"/>
      <c r="AZ43" s="1234"/>
      <c r="BA43" s="1312"/>
      <c r="BB43" s="1315"/>
      <c r="BC43" s="1158"/>
      <c r="BI43" s="11">
        <v>14</v>
      </c>
    </row>
    <row r="44" spans="1:61" ht="14.7"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07"/>
      <c r="T44" s="1255"/>
      <c r="U44" s="173"/>
      <c r="V44" s="36" t="s">
        <v>479</v>
      </c>
      <c r="W44" s="36" t="s">
        <v>480</v>
      </c>
      <c r="X44" s="36" t="s">
        <v>479</v>
      </c>
      <c r="Y44" s="36" t="s">
        <v>480</v>
      </c>
      <c r="Z44" s="39" t="s">
        <v>448</v>
      </c>
      <c r="AA44" s="1260" t="s">
        <v>449</v>
      </c>
      <c r="AB44" s="1274"/>
      <c r="AC44" s="1313"/>
      <c r="AD44" s="1344"/>
      <c r="AE44" s="1345"/>
      <c r="AF44" s="1345"/>
      <c r="AG44" s="1346"/>
      <c r="AH44" s="1344"/>
      <c r="AI44" s="1345"/>
      <c r="AJ44" s="1345"/>
      <c r="AK44" s="1346"/>
      <c r="AL44" s="1344"/>
      <c r="AM44" s="1345"/>
      <c r="AN44" s="1345"/>
      <c r="AO44" s="1346"/>
      <c r="AP44" s="1344"/>
      <c r="AQ44" s="1345"/>
      <c r="AR44" s="1345"/>
      <c r="AS44" s="1346"/>
      <c r="AT44" s="36" t="s">
        <v>479</v>
      </c>
      <c r="AU44" s="36" t="s">
        <v>480</v>
      </c>
      <c r="AV44" s="36" t="s">
        <v>479</v>
      </c>
      <c r="AW44" s="36" t="s">
        <v>480</v>
      </c>
      <c r="AX44" s="39" t="s">
        <v>448</v>
      </c>
      <c r="AY44" s="1260" t="s">
        <v>449</v>
      </c>
      <c r="AZ44" s="1274"/>
      <c r="BA44" s="1313"/>
      <c r="BB44" s="1316"/>
      <c r="BC44" s="115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5">
        <f t="shared" ca="1" si="2"/>
        <v>8</v>
      </c>
      <c r="AB45" s="130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5">
        <f ca="1">OFFSET(AY45,0,-1)+1</f>
        <v>3</v>
      </c>
      <c r="AZ45" s="1305"/>
      <c r="BA45" s="727">
        <f ca="1">OFFSET(BA45,0,-2)+1</f>
        <v>4</v>
      </c>
      <c r="BB45" s="721">
        <f ca="1">OFFSET(BB45,0,-1)</f>
        <v>4</v>
      </c>
      <c r="BC45" s="727">
        <f ca="1">OFFSET(BC45,0,-1)+1</f>
        <v>5</v>
      </c>
      <c r="BD45" s="68"/>
      <c r="BE45" s="68"/>
      <c r="BF45" s="68"/>
      <c r="BG45" s="68"/>
      <c r="BH45" s="68"/>
      <c r="BI45" s="203">
        <v>0</v>
      </c>
    </row>
    <row r="46" spans="1:61" ht="22.05" customHeight="1">
      <c r="A46" s="769" t="s">
        <v>280</v>
      </c>
      <c r="B46" s="769"/>
      <c r="C46" s="769"/>
      <c r="D46" s="769"/>
      <c r="E46" s="129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89"/>
      <c r="W46" s="1289"/>
      <c r="X46" s="1289"/>
      <c r="Y46" s="1289"/>
      <c r="Z46" s="1289"/>
      <c r="AA46" s="1289"/>
      <c r="AB46" s="1289"/>
      <c r="AC46" s="1290"/>
      <c r="AD46" s="1288" t="str">
        <f>INDEX(PT_DIFFERENTIATION_NTAR,MATCH(A46,PT_DIFFERENTIATION_NTAR_ID,0))</f>
        <v/>
      </c>
      <c r="AE46" s="1289"/>
      <c r="AF46" s="1289"/>
      <c r="AG46" s="1289"/>
      <c r="AH46" s="1289"/>
      <c r="AI46" s="1289"/>
      <c r="AJ46" s="1289"/>
      <c r="AK46" s="1289"/>
      <c r="AL46" s="1289"/>
      <c r="AM46" s="1289"/>
      <c r="AN46" s="1289"/>
      <c r="AO46" s="1289"/>
      <c r="AP46" s="1289"/>
      <c r="AQ46" s="1289"/>
      <c r="AR46" s="1289"/>
      <c r="AS46" s="1289"/>
      <c r="AT46" s="1289"/>
      <c r="AU46" s="1289"/>
      <c r="AV46" s="1289"/>
      <c r="AW46" s="1289"/>
      <c r="AX46" s="1289"/>
      <c r="AY46" s="1289"/>
      <c r="AZ46" s="1289"/>
      <c r="BA46" s="1289"/>
      <c r="BB46" s="129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280</v>
      </c>
      <c r="B47" s="769" t="s">
        <v>281</v>
      </c>
      <c r="C47" s="769"/>
      <c r="D47" s="769"/>
      <c r="E47" s="1295"/>
      <c r="F47" s="1294">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9"/>
      <c r="W47" s="1289"/>
      <c r="X47" s="1289"/>
      <c r="Y47" s="1289"/>
      <c r="Z47" s="1289"/>
      <c r="AA47" s="1289"/>
      <c r="AB47" s="1289"/>
      <c r="AC47" s="1290"/>
      <c r="AD47" s="1288" t="str">
        <f>INDEX(PT_DIFFERENTIATION_TER,MATCH(B47,PT_DIFFERENTIATION_TER_ID,0))</f>
        <v/>
      </c>
      <c r="AE47" s="1289"/>
      <c r="AF47" s="1289"/>
      <c r="AG47" s="1289"/>
      <c r="AH47" s="1289"/>
      <c r="AI47" s="1289"/>
      <c r="AJ47" s="1289"/>
      <c r="AK47" s="1289"/>
      <c r="AL47" s="1289"/>
      <c r="AM47" s="1289"/>
      <c r="AN47" s="1289"/>
      <c r="AO47" s="1289"/>
      <c r="AP47" s="1289"/>
      <c r="AQ47" s="1289"/>
      <c r="AR47" s="1289"/>
      <c r="AS47" s="1289"/>
      <c r="AT47" s="1289"/>
      <c r="AU47" s="1289"/>
      <c r="AV47" s="1289"/>
      <c r="AW47" s="1289"/>
      <c r="AX47" s="1289"/>
      <c r="AY47" s="1289"/>
      <c r="AZ47" s="1289"/>
      <c r="BA47" s="1289"/>
      <c r="BB47" s="1290"/>
      <c r="BC47" s="729" t="s">
        <v>402</v>
      </c>
      <c r="BE47" s="69"/>
      <c r="BF47" s="69" t="str">
        <f t="shared" si="3"/>
        <v>Территория действия тарифа</v>
      </c>
      <c r="BG47" s="69"/>
      <c r="BH47" s="69"/>
      <c r="BI47" s="11">
        <v>21</v>
      </c>
    </row>
    <row r="48" spans="1:61" ht="35.700000000000003" customHeight="1">
      <c r="A48" s="769" t="s">
        <v>280</v>
      </c>
      <c r="B48" s="769" t="s">
        <v>281</v>
      </c>
      <c r="C48" s="769" t="s">
        <v>282</v>
      </c>
      <c r="D48" s="769"/>
      <c r="E48" s="1295"/>
      <c r="F48" s="1295"/>
      <c r="G48" s="1294">
        <v>1</v>
      </c>
      <c r="H48" s="769"/>
      <c r="I48" s="769"/>
      <c r="J48" s="769"/>
      <c r="K48" s="769"/>
      <c r="L48" s="770"/>
      <c r="M48" s="426"/>
      <c r="N48" s="426"/>
      <c r="O48" s="426"/>
      <c r="P48" s="131"/>
      <c r="Q48" s="802"/>
      <c r="R48" s="205"/>
      <c r="S48" s="709" t="str">
        <f>INDEX(PT_DIFFERENTIATION_NUM_CS,MATCH(C48,PT_DIFFERENTIATION_CS_ID,0))</f>
        <v>..</v>
      </c>
      <c r="T48" s="178" t="s">
        <v>517</v>
      </c>
      <c r="U48" s="171"/>
      <c r="V48" s="1289"/>
      <c r="W48" s="1289"/>
      <c r="X48" s="1289"/>
      <c r="Y48" s="1289"/>
      <c r="Z48" s="1289"/>
      <c r="AA48" s="1289"/>
      <c r="AB48" s="1289"/>
      <c r="AC48" s="1290"/>
      <c r="AD48" s="1288" t="str">
        <f>INDEX(PT_DIFFERENTIATION_CS,MATCH(C48,PT_DIFFERENTIATION_CS_ID,0))</f>
        <v/>
      </c>
      <c r="AE48" s="1289"/>
      <c r="AF48" s="1289"/>
      <c r="AG48" s="1289"/>
      <c r="AH48" s="1289"/>
      <c r="AI48" s="1289"/>
      <c r="AJ48" s="1289"/>
      <c r="AK48" s="1289"/>
      <c r="AL48" s="1289"/>
      <c r="AM48" s="1289"/>
      <c r="AN48" s="1289"/>
      <c r="AO48" s="1289"/>
      <c r="AP48" s="1289"/>
      <c r="AQ48" s="1289"/>
      <c r="AR48" s="1289"/>
      <c r="AS48" s="1289"/>
      <c r="AT48" s="1289"/>
      <c r="AU48" s="1289"/>
      <c r="AV48" s="1289"/>
      <c r="AW48" s="1289"/>
      <c r="AX48" s="1289"/>
      <c r="AY48" s="1289"/>
      <c r="AZ48" s="1289"/>
      <c r="BA48" s="1289"/>
      <c r="BB48" s="1290"/>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532</v>
      </c>
      <c r="E49" s="1295"/>
      <c r="F49" s="1295"/>
      <c r="G49" s="1295"/>
      <c r="H49" s="1294">
        <v>1</v>
      </c>
      <c r="I49" s="145"/>
      <c r="J49" s="145"/>
      <c r="K49" s="145"/>
      <c r="L49" s="346"/>
      <c r="M49" s="293"/>
      <c r="N49" s="293"/>
      <c r="O49" s="293"/>
      <c r="P49" s="820"/>
      <c r="Q49" s="821"/>
      <c r="R49" s="209"/>
      <c r="S49" s="362"/>
      <c r="T49" s="822"/>
      <c r="U49" s="780"/>
      <c r="V49" s="1326"/>
      <c r="W49" s="1326"/>
      <c r="X49" s="1326"/>
      <c r="Y49" s="1326"/>
      <c r="Z49" s="1326"/>
      <c r="AA49" s="1326"/>
      <c r="AB49" s="1326"/>
      <c r="AC49" s="1327"/>
      <c r="AD49" s="1325"/>
      <c r="AE49" s="1326"/>
      <c r="AF49" s="1326"/>
      <c r="AG49" s="1326"/>
      <c r="AH49" s="1326"/>
      <c r="AI49" s="1326"/>
      <c r="AJ49" s="1326"/>
      <c r="AK49" s="1326"/>
      <c r="AL49" s="1326"/>
      <c r="AM49" s="1326"/>
      <c r="AN49" s="1326"/>
      <c r="AO49" s="1326"/>
      <c r="AP49" s="1326"/>
      <c r="AQ49" s="1326"/>
      <c r="AR49" s="1326"/>
      <c r="AS49" s="1326"/>
      <c r="AT49" s="1326"/>
      <c r="AU49" s="1326"/>
      <c r="AV49" s="1326"/>
      <c r="AW49" s="1326"/>
      <c r="AX49" s="1326"/>
      <c r="AY49" s="1326"/>
      <c r="AZ49" s="1326"/>
      <c r="BA49" s="1326"/>
      <c r="BB49" s="1327"/>
      <c r="BC49" s="781" t="s">
        <v>406</v>
      </c>
      <c r="BE49" s="69"/>
      <c r="BF49" s="69" t="str">
        <f t="shared" si="3"/>
        <v/>
      </c>
      <c r="BG49" s="69"/>
      <c r="BH49" s="69"/>
      <c r="BI49" s="68">
        <v>0</v>
      </c>
    </row>
    <row r="50" spans="1:61" s="68" customFormat="1" ht="0" hidden="1" customHeight="1">
      <c r="A50" s="145" t="s">
        <v>280</v>
      </c>
      <c r="B50" s="145" t="s">
        <v>281</v>
      </c>
      <c r="C50" s="145" t="s">
        <v>282</v>
      </c>
      <c r="D50" s="145" t="s">
        <v>532</v>
      </c>
      <c r="E50" s="1295"/>
      <c r="F50" s="1295"/>
      <c r="G50" s="1295"/>
      <c r="H50" s="1295"/>
      <c r="I50" s="1296" t="str">
        <f>S49&amp;".1"</f>
        <v>.1</v>
      </c>
      <c r="J50" s="145"/>
      <c r="K50" s="145"/>
      <c r="L50" s="346" t="s">
        <v>407</v>
      </c>
      <c r="M50" s="290"/>
      <c r="N50" s="290"/>
      <c r="O50" s="290"/>
      <c r="P50" s="1298">
        <v>1</v>
      </c>
      <c r="Q50" s="122"/>
      <c r="R50" s="208"/>
      <c r="S50" s="362"/>
      <c r="T50" s="779"/>
      <c r="U50" s="780"/>
      <c r="V50" s="1326"/>
      <c r="W50" s="1326"/>
      <c r="X50" s="1326"/>
      <c r="Y50" s="1326"/>
      <c r="Z50" s="1326"/>
      <c r="AA50" s="1326"/>
      <c r="AB50" s="1326"/>
      <c r="AC50" s="1327"/>
      <c r="AD50" s="1325"/>
      <c r="AE50" s="1326"/>
      <c r="AF50" s="1326"/>
      <c r="AG50" s="1326"/>
      <c r="AH50" s="1326"/>
      <c r="AI50" s="1326"/>
      <c r="AJ50" s="1326"/>
      <c r="AK50" s="1326"/>
      <c r="AL50" s="1326"/>
      <c r="AM50" s="1326"/>
      <c r="AN50" s="1326"/>
      <c r="AO50" s="1326"/>
      <c r="AP50" s="1326"/>
      <c r="AQ50" s="1326"/>
      <c r="AR50" s="1326"/>
      <c r="AS50" s="1326"/>
      <c r="AT50" s="1326"/>
      <c r="AU50" s="1326"/>
      <c r="AV50" s="1326"/>
      <c r="AW50" s="1326"/>
      <c r="AX50" s="1326"/>
      <c r="AY50" s="1326"/>
      <c r="AZ50" s="1326"/>
      <c r="BA50" s="1326"/>
      <c r="BB50" s="1327"/>
      <c r="BC50" s="781"/>
      <c r="BE50" s="69"/>
      <c r="BF50" s="69" t="str">
        <f t="shared" si="3"/>
        <v/>
      </c>
      <c r="BG50" s="69"/>
      <c r="BH50" s="69"/>
      <c r="BI50" s="68">
        <v>0</v>
      </c>
    </row>
    <row r="51" spans="1:61" s="68" customFormat="1" ht="0" hidden="1" customHeight="1">
      <c r="A51" s="145" t="s">
        <v>280</v>
      </c>
      <c r="B51" s="145" t="s">
        <v>281</v>
      </c>
      <c r="C51" s="145" t="s">
        <v>282</v>
      </c>
      <c r="D51" s="145" t="s">
        <v>532</v>
      </c>
      <c r="E51" s="1295"/>
      <c r="F51" s="1295"/>
      <c r="G51" s="1295"/>
      <c r="H51" s="1295"/>
      <c r="I51" s="1297"/>
      <c r="J51" s="1296" t="str">
        <f>S49&amp;".1"</f>
        <v>.1</v>
      </c>
      <c r="K51" s="145"/>
      <c r="L51" s="346"/>
      <c r="M51" s="290"/>
      <c r="N51" s="290"/>
      <c r="O51" s="290"/>
      <c r="P51" s="1298"/>
      <c r="Q51" s="1298">
        <v>1</v>
      </c>
      <c r="R51" s="209"/>
      <c r="S51" s="362"/>
      <c r="T51" s="794"/>
      <c r="U51" s="780"/>
      <c r="V51" s="1326"/>
      <c r="W51" s="1326"/>
      <c r="X51" s="1326"/>
      <c r="Y51" s="1326"/>
      <c r="Z51" s="1326"/>
      <c r="AA51" s="1326"/>
      <c r="AB51" s="1326"/>
      <c r="AC51" s="1327"/>
      <c r="AD51" s="1325"/>
      <c r="AE51" s="1326"/>
      <c r="AF51" s="1326"/>
      <c r="AG51" s="1326"/>
      <c r="AH51" s="1326"/>
      <c r="AI51" s="1326"/>
      <c r="AJ51" s="1326"/>
      <c r="AK51" s="1326"/>
      <c r="AL51" s="1326"/>
      <c r="AM51" s="1326"/>
      <c r="AN51" s="1377"/>
      <c r="AO51" s="1377"/>
      <c r="AP51" s="1326"/>
      <c r="AQ51" s="1326"/>
      <c r="AR51" s="1326"/>
      <c r="AS51" s="1326"/>
      <c r="AT51" s="1326"/>
      <c r="AU51" s="1326"/>
      <c r="AV51" s="1326"/>
      <c r="AW51" s="1326"/>
      <c r="AX51" s="1326"/>
      <c r="AY51" s="1326"/>
      <c r="AZ51" s="1326"/>
      <c r="BA51" s="1326"/>
      <c r="BB51" s="1327"/>
      <c r="BC51" s="781"/>
      <c r="BE51" s="69"/>
      <c r="BF51" s="69" t="str">
        <f t="shared" si="3"/>
        <v/>
      </c>
      <c r="BG51" s="69"/>
      <c r="BH51" s="69"/>
      <c r="BI51" s="68">
        <v>0</v>
      </c>
    </row>
    <row r="52" spans="1:61" ht="11.55" customHeight="1">
      <c r="A52" s="769" t="s">
        <v>280</v>
      </c>
      <c r="B52" s="769" t="s">
        <v>281</v>
      </c>
      <c r="C52" s="769" t="s">
        <v>282</v>
      </c>
      <c r="D52" s="769" t="s">
        <v>532</v>
      </c>
      <c r="E52" s="1295"/>
      <c r="F52" s="1295"/>
      <c r="G52" s="1295"/>
      <c r="H52" s="1295"/>
      <c r="I52" s="1297"/>
      <c r="J52" s="1297"/>
      <c r="K52" s="1296" t="str">
        <f>S48&amp;".1"</f>
        <v>...1</v>
      </c>
      <c r="L52" s="770"/>
      <c r="P52" s="1298"/>
      <c r="Q52" s="1298"/>
      <c r="R52" s="209">
        <v>1</v>
      </c>
      <c r="S52" s="1351" t="str">
        <f>$K52</f>
        <v>...1</v>
      </c>
      <c r="T52" s="1371"/>
      <c r="U52" s="171"/>
      <c r="V52" s="306"/>
      <c r="W52" s="728"/>
      <c r="X52" s="306"/>
      <c r="Y52" s="728"/>
      <c r="Z52" s="943"/>
      <c r="AA52" s="297" t="s">
        <v>67</v>
      </c>
      <c r="AB52" s="943"/>
      <c r="AC52" s="297" t="s">
        <v>67</v>
      </c>
      <c r="AD52" s="1224" t="s">
        <v>67</v>
      </c>
      <c r="AE52" s="1347"/>
      <c r="AF52" s="1251">
        <v>1</v>
      </c>
      <c r="AG52" s="1370"/>
      <c r="AH52" s="1168" t="s">
        <v>67</v>
      </c>
      <c r="AI52" s="1347"/>
      <c r="AJ52" s="1251">
        <v>1</v>
      </c>
      <c r="AK52" s="1361" t="s">
        <v>28</v>
      </c>
      <c r="AL52" s="1168" t="s">
        <v>67</v>
      </c>
      <c r="AM52" s="1228"/>
      <c r="AN52" s="1251">
        <v>1</v>
      </c>
      <c r="AO52" s="1374"/>
      <c r="AP52" s="1375" t="s">
        <v>67</v>
      </c>
      <c r="AQ52" s="180"/>
      <c r="AR52" s="268">
        <v>1</v>
      </c>
      <c r="AS52" s="119" t="s">
        <v>28</v>
      </c>
      <c r="AT52" s="306"/>
      <c r="AU52" s="728"/>
      <c r="AV52" s="306"/>
      <c r="AW52" s="728"/>
      <c r="AX52" s="943"/>
      <c r="AY52" s="297" t="s">
        <v>67</v>
      </c>
      <c r="AZ52" s="943"/>
      <c r="BA52" s="297" t="s">
        <v>67</v>
      </c>
      <c r="BB52" s="766"/>
      <c r="BC52" s="1317" t="s">
        <v>502</v>
      </c>
      <c r="BE52" s="69"/>
      <c r="BF52" s="69" t="str">
        <f t="shared" si="3"/>
        <v/>
      </c>
      <c r="BG52" s="69"/>
      <c r="BH52" s="69"/>
      <c r="BI52" s="11">
        <v>11</v>
      </c>
    </row>
    <row r="53" spans="1:61" ht="11.55" customHeight="1">
      <c r="A53" s="769"/>
      <c r="B53" s="769"/>
      <c r="C53" s="769"/>
      <c r="D53" s="769"/>
      <c r="E53" s="1295"/>
      <c r="F53" s="1295"/>
      <c r="G53" s="1295"/>
      <c r="H53" s="1295"/>
      <c r="I53" s="1297"/>
      <c r="J53" s="1297"/>
      <c r="K53" s="1296"/>
      <c r="L53" s="770"/>
      <c r="P53" s="1298"/>
      <c r="Q53" s="1298"/>
      <c r="R53" s="209"/>
      <c r="S53" s="1352"/>
      <c r="T53" s="1372"/>
      <c r="U53" s="171"/>
      <c r="V53" s="789"/>
      <c r="W53" s="819"/>
      <c r="X53" s="789"/>
      <c r="Y53" s="819"/>
      <c r="Z53" s="789"/>
      <c r="AA53" s="789"/>
      <c r="AB53" s="789"/>
      <c r="AC53" s="789"/>
      <c r="AD53" s="1225"/>
      <c r="AE53" s="1347"/>
      <c r="AF53" s="1251"/>
      <c r="AG53" s="1370"/>
      <c r="AH53" s="1168"/>
      <c r="AI53" s="1347"/>
      <c r="AJ53" s="1251"/>
      <c r="AK53" s="1361"/>
      <c r="AL53" s="1168"/>
      <c r="AM53" s="1233"/>
      <c r="AN53" s="1251"/>
      <c r="AO53" s="1374"/>
      <c r="AP53" s="1376"/>
      <c r="AQ53" s="184"/>
      <c r="AR53" s="52"/>
      <c r="AS53" s="52" t="s">
        <v>503</v>
      </c>
      <c r="AT53" s="789"/>
      <c r="AU53" s="819"/>
      <c r="AV53" s="789"/>
      <c r="AW53" s="819"/>
      <c r="AX53" s="789"/>
      <c r="AY53" s="789"/>
      <c r="AZ53" s="789"/>
      <c r="BA53" s="789"/>
      <c r="BB53" s="793"/>
      <c r="BC53" s="1318"/>
      <c r="BE53" s="69"/>
      <c r="BF53" s="69"/>
      <c r="BG53" s="69"/>
      <c r="BH53" s="69"/>
      <c r="BI53" s="11">
        <v>11</v>
      </c>
    </row>
    <row r="54" spans="1:61" ht="11.55" customHeight="1">
      <c r="A54" s="769" t="s">
        <v>280</v>
      </c>
      <c r="B54" s="769"/>
      <c r="C54" s="769"/>
      <c r="D54" s="769"/>
      <c r="E54" s="1295"/>
      <c r="F54" s="1295"/>
      <c r="G54" s="1295"/>
      <c r="H54" s="1295"/>
      <c r="I54" s="1297"/>
      <c r="J54" s="1297"/>
      <c r="K54" s="1296"/>
      <c r="L54" s="770"/>
      <c r="P54" s="1298"/>
      <c r="Q54" s="1298"/>
      <c r="R54" s="209"/>
      <c r="S54" s="1352"/>
      <c r="T54" s="1372"/>
      <c r="U54" s="171"/>
      <c r="V54" s="789"/>
      <c r="W54" s="819"/>
      <c r="X54" s="789"/>
      <c r="Y54" s="819"/>
      <c r="Z54" s="789"/>
      <c r="AA54" s="789"/>
      <c r="AB54" s="789"/>
      <c r="AC54" s="789"/>
      <c r="AD54" s="1225"/>
      <c r="AE54" s="1347"/>
      <c r="AF54" s="1251"/>
      <c r="AG54" s="1370"/>
      <c r="AH54" s="1168"/>
      <c r="AI54" s="1347"/>
      <c r="AJ54" s="1251"/>
      <c r="AK54" s="1361"/>
      <c r="AL54" s="1168"/>
      <c r="AM54" s="184"/>
      <c r="AN54" s="823"/>
      <c r="AO54" s="823" t="s">
        <v>525</v>
      </c>
      <c r="AP54" s="52"/>
      <c r="AQ54" s="52"/>
      <c r="AR54" s="52"/>
      <c r="AS54" s="789"/>
      <c r="AT54" s="789"/>
      <c r="AU54" s="819"/>
      <c r="AV54" s="789"/>
      <c r="AW54" s="819"/>
      <c r="AX54" s="789"/>
      <c r="AY54" s="789"/>
      <c r="AZ54" s="789"/>
      <c r="BA54" s="789"/>
      <c r="BB54" s="793"/>
      <c r="BC54" s="1318"/>
      <c r="BE54" s="69"/>
      <c r="BF54" s="69"/>
      <c r="BG54" s="69"/>
      <c r="BH54" s="69"/>
      <c r="BI54" s="11">
        <v>11</v>
      </c>
    </row>
    <row r="55" spans="1:61" ht="11.55" customHeight="1">
      <c r="A55" s="769" t="s">
        <v>280</v>
      </c>
      <c r="B55" s="769"/>
      <c r="C55" s="769"/>
      <c r="D55" s="769"/>
      <c r="E55" s="1295"/>
      <c r="F55" s="1295"/>
      <c r="G55" s="1295"/>
      <c r="H55" s="1295"/>
      <c r="I55" s="1297"/>
      <c r="J55" s="1297"/>
      <c r="K55" s="1296"/>
      <c r="L55" s="770"/>
      <c r="P55" s="1298"/>
      <c r="Q55" s="1298"/>
      <c r="R55" s="209"/>
      <c r="S55" s="1352"/>
      <c r="T55" s="1372"/>
      <c r="U55" s="171"/>
      <c r="V55" s="789"/>
      <c r="W55" s="819"/>
      <c r="X55" s="789"/>
      <c r="Y55" s="819"/>
      <c r="Z55" s="789"/>
      <c r="AA55" s="789"/>
      <c r="AB55" s="789"/>
      <c r="AC55" s="789"/>
      <c r="AD55" s="1225"/>
      <c r="AE55" s="1347"/>
      <c r="AF55" s="1251"/>
      <c r="AG55" s="1370"/>
      <c r="AH55" s="1168"/>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18"/>
      <c r="BE55" s="69"/>
      <c r="BF55" s="69"/>
      <c r="BG55" s="69"/>
      <c r="BH55" s="69"/>
      <c r="BI55" s="11">
        <v>11</v>
      </c>
    </row>
    <row r="56" spans="1:61" ht="11.55" customHeight="1">
      <c r="A56" s="769" t="s">
        <v>280</v>
      </c>
      <c r="B56" s="769" t="s">
        <v>281</v>
      </c>
      <c r="C56" s="769" t="s">
        <v>282</v>
      </c>
      <c r="D56" s="769" t="s">
        <v>532</v>
      </c>
      <c r="E56" s="1295"/>
      <c r="F56" s="1295"/>
      <c r="G56" s="1295"/>
      <c r="H56" s="1295"/>
      <c r="I56" s="1297"/>
      <c r="J56" s="1297"/>
      <c r="K56" s="1296"/>
      <c r="L56" s="770"/>
      <c r="P56" s="1298"/>
      <c r="Q56" s="1298"/>
      <c r="R56" s="209"/>
      <c r="S56" s="1353"/>
      <c r="T56" s="1373"/>
      <c r="U56" s="171"/>
      <c r="V56" s="789"/>
      <c r="W56" s="790" t="str">
        <f>Z52&amp;"-"&amp;AB52</f>
        <v>-</v>
      </c>
      <c r="X56" s="789"/>
      <c r="Y56" s="790" t="str">
        <f>AB52&amp;"-"&amp;AD52</f>
        <v>-да</v>
      </c>
      <c r="Z56" s="789"/>
      <c r="AA56" s="789"/>
      <c r="AB56" s="789"/>
      <c r="AC56" s="789"/>
      <c r="AD56" s="1173"/>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8"/>
      <c r="BE56" s="69"/>
      <c r="BF56" s="69" t="str">
        <f t="shared" ref="BF56:BF63" si="4">IF(T56="","",T56)</f>
        <v/>
      </c>
      <c r="BG56" s="69"/>
      <c r="BH56" s="69"/>
      <c r="BI56" s="11">
        <v>11</v>
      </c>
    </row>
    <row r="57" spans="1:61" ht="11.55" customHeight="1">
      <c r="A57" s="769" t="s">
        <v>280</v>
      </c>
      <c r="B57" s="769" t="s">
        <v>281</v>
      </c>
      <c r="C57" s="769" t="s">
        <v>282</v>
      </c>
      <c r="D57" s="769" t="s">
        <v>532</v>
      </c>
      <c r="E57" s="1295"/>
      <c r="F57" s="1295"/>
      <c r="G57" s="1295"/>
      <c r="H57" s="1295"/>
      <c r="I57" s="1297"/>
      <c r="J57" s="1296"/>
      <c r="K57" s="769"/>
      <c r="L57" s="770"/>
      <c r="P57" s="1298"/>
      <c r="Q57" s="129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9"/>
      <c r="BE57" s="69"/>
      <c r="BF57" s="69" t="str">
        <f t="shared" si="4"/>
        <v>Добавить строку</v>
      </c>
      <c r="BG57" s="69"/>
      <c r="BH57" s="69"/>
      <c r="BI57" s="11">
        <v>11</v>
      </c>
    </row>
    <row r="58" spans="1:61" s="68" customFormat="1" ht="0" hidden="1" customHeight="1">
      <c r="A58" s="145" t="s">
        <v>280</v>
      </c>
      <c r="B58" s="145" t="s">
        <v>281</v>
      </c>
      <c r="C58" s="145" t="s">
        <v>282</v>
      </c>
      <c r="D58" s="145" t="s">
        <v>532</v>
      </c>
      <c r="E58" s="1295"/>
      <c r="F58" s="1295"/>
      <c r="G58" s="1295"/>
      <c r="H58" s="1295"/>
      <c r="I58" s="1296"/>
      <c r="J58" s="145"/>
      <c r="K58" s="145"/>
      <c r="L58" s="346"/>
      <c r="M58" s="290"/>
      <c r="N58" s="290"/>
      <c r="O58" s="290"/>
      <c r="P58" s="129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532</v>
      </c>
      <c r="E59" s="1295"/>
      <c r="F59" s="1295"/>
      <c r="G59" s="1295"/>
      <c r="H59" s="129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95"/>
      <c r="F60" s="1295"/>
      <c r="G60" s="129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95"/>
      <c r="F61" s="1294"/>
      <c r="G61" s="145"/>
      <c r="H61" s="145"/>
      <c r="I61" s="145"/>
      <c r="J61" s="145"/>
      <c r="K61" s="145"/>
      <c r="L61" s="346"/>
      <c r="M61" s="759"/>
      <c r="N61" s="759"/>
      <c r="P61" s="104"/>
      <c r="Q61" s="755"/>
      <c r="R61" s="104"/>
      <c r="S61" s="760"/>
      <c r="T61" s="762" t="s">
        <v>275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94"/>
      <c r="F62" s="145"/>
      <c r="G62" s="145"/>
      <c r="H62" s="145"/>
      <c r="I62" s="145"/>
      <c r="J62" s="145"/>
      <c r="K62" s="145"/>
      <c r="L62" s="346"/>
      <c r="M62" s="759"/>
      <c r="N62" s="759"/>
      <c r="P62" s="104"/>
      <c r="Q62" s="755"/>
      <c r="R62" s="104"/>
      <c r="S62" s="760"/>
      <c r="T62" s="762" t="s">
        <v>276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14.7" customHeight="1">
      <c r="O65" s="63"/>
      <c r="S65" s="198"/>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3"/>
      <c r="AR65" s="1293"/>
      <c r="AS65" s="1293"/>
      <c r="AT65" s="1293"/>
      <c r="AU65" s="1293"/>
      <c r="AV65" s="1293"/>
      <c r="AW65" s="1293"/>
      <c r="AX65" s="1293"/>
      <c r="AY65" s="1293"/>
      <c r="AZ65" s="1293"/>
      <c r="BA65" s="1293"/>
      <c r="BB65" s="1293"/>
      <c r="BC65" s="1293"/>
      <c r="BI65" s="11">
        <v>14</v>
      </c>
    </row>
    <row r="66" spans="1:61" ht="14.7"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7" customHeight="1">
      <c r="O67" s="63"/>
      <c r="S67" s="198"/>
      <c r="T67" s="1293"/>
      <c r="U67" s="1293"/>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R67" s="1293"/>
      <c r="AS67" s="1293"/>
      <c r="AT67" s="1293"/>
      <c r="AU67" s="1293"/>
      <c r="AV67" s="1293"/>
      <c r="AW67" s="1293"/>
      <c r="AX67" s="1293"/>
      <c r="AY67" s="1293"/>
      <c r="AZ67" s="1293"/>
      <c r="BA67" s="1293"/>
      <c r="BB67" s="1293"/>
      <c r="BC67" s="1293"/>
      <c r="BI67" s="11">
        <v>14</v>
      </c>
    </row>
    <row r="68" spans="1:61" ht="14.7"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9" sqref="G19"/>
    </sheetView>
  </sheetViews>
  <sheetFormatPr defaultColWidth="9.1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5" style="11" hidden="1" customWidth="1"/>
    <col min="7" max="7" width="46.75" style="11" customWidth="1"/>
    <col min="8" max="8" width="42" style="11" customWidth="1"/>
    <col min="9" max="9" width="14" style="11" customWidth="1"/>
    <col min="10" max="10" width="3" style="69" customWidth="1"/>
    <col min="11" max="13" width="9.125" style="69" hidden="1"/>
    <col min="14" max="14" width="25.75" style="69" hidden="1" customWidth="1"/>
    <col min="15" max="15" width="14.375" style="69" hidden="1" customWidth="1"/>
    <col min="16" max="19" width="9.125" style="126" hidden="1"/>
    <col min="20" max="27" width="9.125" style="11" hidden="1"/>
    <col min="28" max="28" width="8" style="11" customWidth="1"/>
    <col min="29" max="29" width="9.1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3" customHeight="1">
      <c r="A4" s="11"/>
      <c r="B4" s="63"/>
      <c r="C4" s="11"/>
      <c r="D4" s="77"/>
      <c r="E4" s="1144" t="str">
        <f>NameTemplatesInListMO</f>
        <v>Перечень муниципальных районов и муниципальных образований (территорий действия тарифа)</v>
      </c>
      <c r="F4" s="1144"/>
      <c r="G4" s="1144"/>
      <c r="H4" s="1144"/>
      <c r="I4" s="1144"/>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7" customHeight="1">
      <c r="A8" s="11"/>
      <c r="B8" s="63"/>
      <c r="C8" s="11"/>
      <c r="D8" s="77"/>
      <c r="E8" s="1140" t="s">
        <v>87</v>
      </c>
      <c r="F8" s="1145"/>
      <c r="G8" s="1139"/>
      <c r="H8" s="1146" t="s">
        <v>88</v>
      </c>
      <c r="I8" s="1146"/>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5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05"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43">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3"/>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Ханты-Мансийск(71871000)</v>
      </c>
      <c r="P13" s="63"/>
      <c r="Q13" s="63"/>
      <c r="R13" s="236"/>
      <c r="S13" s="63"/>
      <c r="T13" s="63"/>
      <c r="U13" s="63"/>
      <c r="V13" s="62"/>
      <c r="W13" s="62"/>
      <c r="X13" s="104"/>
      <c r="Y13" s="104"/>
      <c r="Z13" s="104"/>
      <c r="AA13" s="104"/>
      <c r="AB13" s="104"/>
      <c r="AC13">
        <v>15</v>
      </c>
    </row>
    <row r="14" spans="1:29" ht="15.75" customHeight="1">
      <c r="A14" s="1143"/>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7"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2.0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7"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05"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7" customHeight="1">
      <c r="AC21" s="11">
        <v>14</v>
      </c>
    </row>
    <row r="22" spans="1:29" ht="14.7" customHeight="1">
      <c r="AC22" s="11">
        <v>14</v>
      </c>
    </row>
    <row r="23" spans="1:29" ht="14.7" customHeight="1">
      <c r="AC23" s="11">
        <v>14</v>
      </c>
    </row>
    <row r="24" spans="1:29" ht="14.7" customHeight="1">
      <c r="H24" s="2"/>
      <c r="AC24" s="11">
        <v>14</v>
      </c>
    </row>
    <row r="25" spans="1:29" ht="14.7" customHeight="1">
      <c r="AC25" s="11">
        <v>14</v>
      </c>
    </row>
    <row r="26" spans="1:29" ht="14.7" customHeight="1">
      <c r="AC26" s="11">
        <v>14</v>
      </c>
    </row>
    <row r="27" spans="1:29" ht="14.7" customHeight="1">
      <c r="AC27" s="11">
        <v>14</v>
      </c>
    </row>
    <row r="28" spans="1:29" ht="14.7"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8" width="19.75" style="11" hidden="1" customWidth="1"/>
    <col min="29" max="29" width="11.75" style="11" hidden="1" customWidth="1"/>
    <col min="30" max="30" width="3.75" style="11" hidden="1" customWidth="1"/>
    <col min="31" max="31" width="11.75" style="11" hidden="1" customWidth="1"/>
    <col min="32" max="32" width="8.625" style="11" hidden="1" customWidth="1"/>
    <col min="33" max="33" width="19.75" style="11" customWidth="1"/>
    <col min="34" max="39" width="19" style="11" customWidth="1"/>
    <col min="40" max="40" width="11" style="11" customWidth="1"/>
    <col min="41" max="41" width="3.75" style="11" customWidth="1"/>
    <col min="42" max="42" width="11" style="11" customWidth="1"/>
    <col min="43" max="43" width="8.625" style="11" hidden="1" customWidth="1"/>
    <col min="44" max="44" width="4" style="11" customWidth="1"/>
    <col min="45" max="45" width="115" style="11" customWidth="1"/>
    <col min="46" max="50" width="10" style="68" customWidth="1"/>
    <col min="51" max="51" width="10.625" style="11" hidden="1"/>
  </cols>
  <sheetData>
    <row r="1" spans="1:51" ht="22.5" hidden="1" customHeight="1">
      <c r="AY1" s="11" t="s">
        <v>14</v>
      </c>
    </row>
    <row r="2" spans="1:51"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89"/>
      <c r="AD2" s="1289"/>
      <c r="AE2" s="1289"/>
      <c r="AF2" s="1290"/>
      <c r="AG2" s="1288" t="e">
        <f>INDEX(PT_DIFFERENTIATION_NTAR,MATCH(A2,PT_DIFFERENTIATION_NTAR_ID,0))</f>
        <v>#N/A</v>
      </c>
      <c r="AH2" s="1289"/>
      <c r="AI2" s="1289"/>
      <c r="AJ2" s="1289"/>
      <c r="AK2" s="1289"/>
      <c r="AL2" s="1289"/>
      <c r="AM2" s="1289"/>
      <c r="AN2" s="1289"/>
      <c r="AO2" s="1289"/>
      <c r="AP2" s="1289"/>
      <c r="AQ2" s="1289"/>
      <c r="AR2" s="129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89"/>
      <c r="AD3" s="1289"/>
      <c r="AE3" s="1289"/>
      <c r="AF3" s="1290"/>
      <c r="AG3" s="1288" t="e">
        <f>INDEX(PT_DIFFERENTIATION_TER,MATCH(B3,PT_DIFFERENTIATION_TER_ID,0))</f>
        <v>#N/A</v>
      </c>
      <c r="AH3" s="1289"/>
      <c r="AI3" s="1289"/>
      <c r="AJ3" s="1289"/>
      <c r="AK3" s="1289"/>
      <c r="AL3" s="1289"/>
      <c r="AM3" s="1289"/>
      <c r="AN3" s="1289"/>
      <c r="AO3" s="1289"/>
      <c r="AP3" s="1289"/>
      <c r="AQ3" s="1289"/>
      <c r="AR3" s="1290"/>
      <c r="AS3" s="729" t="s">
        <v>402</v>
      </c>
      <c r="AU3" s="69"/>
      <c r="AV3" s="69" t="str">
        <f t="shared" si="0"/>
        <v>Территория действия тарифа</v>
      </c>
      <c r="AW3" s="69"/>
      <c r="AX3" s="69"/>
      <c r="AY3" s="11">
        <v>0</v>
      </c>
    </row>
    <row r="4" spans="1:51"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533</v>
      </c>
      <c r="U4" s="171"/>
      <c r="V4" s="1288"/>
      <c r="W4" s="1289"/>
      <c r="X4" s="1289"/>
      <c r="Y4" s="1289"/>
      <c r="Z4" s="1289"/>
      <c r="AA4" s="1289"/>
      <c r="AB4" s="1289"/>
      <c r="AC4" s="1289"/>
      <c r="AD4" s="1289"/>
      <c r="AE4" s="1289"/>
      <c r="AF4" s="1290"/>
      <c r="AG4" s="1288" t="e">
        <f>INDEX(PT_DIFFERENTIATION_CS,MATCH(C4,PT_DIFFERENTIATION_CS_ID,0))</f>
        <v>#N/A</v>
      </c>
      <c r="AH4" s="1289"/>
      <c r="AI4" s="1289"/>
      <c r="AJ4" s="1289"/>
      <c r="AK4" s="1289"/>
      <c r="AL4" s="1289"/>
      <c r="AM4" s="1289"/>
      <c r="AN4" s="1289"/>
      <c r="AO4" s="1289"/>
      <c r="AP4" s="1289"/>
      <c r="AQ4" s="1289"/>
      <c r="AR4" s="129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3"/>
      <c r="AC5" s="1363"/>
      <c r="AD5" s="1363"/>
      <c r="AE5" s="1363"/>
      <c r="AF5" s="1364"/>
      <c r="AG5" s="1365"/>
      <c r="AH5" s="1366"/>
      <c r="AI5" s="1366"/>
      <c r="AJ5" s="1366"/>
      <c r="AK5" s="1366"/>
      <c r="AL5" s="1366"/>
      <c r="AM5" s="1366"/>
      <c r="AN5" s="1366"/>
      <c r="AO5" s="1366"/>
      <c r="AP5" s="1366"/>
      <c r="AQ5" s="1366"/>
      <c r="AR5" s="136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3"/>
      <c r="AC6" s="1283"/>
      <c r="AD6" s="1283"/>
      <c r="AE6" s="1283"/>
      <c r="AF6" s="1284"/>
      <c r="AG6" s="1282"/>
      <c r="AH6" s="1283"/>
      <c r="AI6" s="1283"/>
      <c r="AJ6" s="1283"/>
      <c r="AK6" s="1283"/>
      <c r="AL6" s="1283"/>
      <c r="AM6" s="1283"/>
      <c r="AN6" s="1283"/>
      <c r="AO6" s="1283"/>
      <c r="AP6" s="1283"/>
      <c r="AQ6" s="1283"/>
      <c r="AR6" s="1284"/>
      <c r="AS6" s="753" t="s">
        <v>486</v>
      </c>
      <c r="AU6" s="69"/>
      <c r="AV6" s="69" t="str">
        <f t="shared" si="0"/>
        <v>Группа потребителей</v>
      </c>
      <c r="AW6" s="69"/>
      <c r="AX6" s="69"/>
      <c r="AY6" s="11">
        <v>0</v>
      </c>
    </row>
    <row r="7" spans="1:51"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306"/>
      <c r="Y7" s="306"/>
      <c r="Z7" s="306"/>
      <c r="AA7" s="306"/>
      <c r="AB7" s="306"/>
      <c r="AC7" s="1299"/>
      <c r="AD7" s="1168" t="s">
        <v>67</v>
      </c>
      <c r="AE7" s="1299"/>
      <c r="AF7" s="1168" t="s">
        <v>67</v>
      </c>
      <c r="AG7" s="306"/>
      <c r="AH7" s="306"/>
      <c r="AI7" s="306"/>
      <c r="AJ7" s="306"/>
      <c r="AK7" s="306"/>
      <c r="AL7" s="306"/>
      <c r="AM7" s="306"/>
      <c r="AN7" s="1299"/>
      <c r="AO7" s="1168" t="s">
        <v>67</v>
      </c>
      <c r="AP7" s="1301"/>
      <c r="AQ7" s="1168" t="s">
        <v>67</v>
      </c>
      <c r="AR7" s="813"/>
      <c r="AS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5"/>
      <c r="F8" s="1295"/>
      <c r="G8" s="1295"/>
      <c r="H8" s="1295"/>
      <c r="I8" s="1297"/>
      <c r="J8" s="1297"/>
      <c r="K8" s="1296"/>
      <c r="L8" s="770"/>
      <c r="P8" s="1298"/>
      <c r="Q8" s="1298"/>
      <c r="R8" s="209"/>
      <c r="S8" s="65"/>
      <c r="T8" s="171"/>
      <c r="U8" s="171"/>
      <c r="V8" s="191"/>
      <c r="W8" s="191"/>
      <c r="X8" s="191"/>
      <c r="Y8" s="191"/>
      <c r="Z8" s="191"/>
      <c r="AA8" s="191"/>
      <c r="AB8" s="191"/>
      <c r="AC8" s="1300"/>
      <c r="AD8" s="1168"/>
      <c r="AE8" s="1300"/>
      <c r="AF8" s="1168"/>
      <c r="AG8" s="191"/>
      <c r="AH8" s="191"/>
      <c r="AI8" s="191"/>
      <c r="AJ8" s="191"/>
      <c r="AK8" s="191"/>
      <c r="AL8" s="191"/>
      <c r="AM8" s="191"/>
      <c r="AN8" s="1300"/>
      <c r="AO8" s="1168"/>
      <c r="AP8" s="1302"/>
      <c r="AQ8" s="1168"/>
      <c r="AR8" s="388"/>
      <c r="AS8" s="1368"/>
      <c r="AU8" s="69"/>
      <c r="AV8" s="69" t="str">
        <f t="shared" si="0"/>
        <v/>
      </c>
      <c r="AW8" s="69"/>
      <c r="AX8" s="69"/>
      <c r="AY8" s="11">
        <v>0</v>
      </c>
    </row>
    <row r="9" spans="1:51"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2"/>
      <c r="AO15" s="1291" t="s">
        <v>67</v>
      </c>
      <c r="AP15" s="1292"/>
      <c r="AQ15" s="1291" t="s">
        <v>67</v>
      </c>
      <c r="AY15" s="11">
        <v>0</v>
      </c>
    </row>
    <row r="16" spans="1:51" ht="14.25" hidden="1" customHeight="1">
      <c r="AG16" s="368"/>
      <c r="AH16" s="368"/>
      <c r="AI16" s="368"/>
      <c r="AJ16" s="368"/>
      <c r="AK16" s="368"/>
      <c r="AL16" s="368"/>
      <c r="AM16" s="368"/>
      <c r="AN16" s="1291"/>
      <c r="AO16" s="1291"/>
      <c r="AP16" s="1291"/>
      <c r="AQ16" s="1291"/>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7" customHeight="1">
      <c r="Q23" s="28"/>
      <c r="R23" s="28"/>
      <c r="S23" s="739"/>
      <c r="T23" s="10"/>
      <c r="U23" s="10"/>
      <c r="AY23" s="11">
        <v>14</v>
      </c>
    </row>
    <row r="24" spans="1:51" ht="26.25" customHeight="1">
      <c r="Q24" s="28"/>
      <c r="R24" s="28"/>
      <c r="S24" s="12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1275"/>
      <c r="AJ24" s="1275"/>
      <c r="AK24" s="1275"/>
      <c r="AL24" s="1275"/>
      <c r="AM24" s="1275"/>
      <c r="AN24" s="1275"/>
      <c r="AO24" s="1275"/>
      <c r="AP24" s="1275"/>
      <c r="AQ24" s="59"/>
      <c r="AY24" s="11">
        <v>25</v>
      </c>
    </row>
    <row r="25" spans="1:51"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1247"/>
      <c r="AJ25" s="1247"/>
      <c r="AK25" s="1247"/>
      <c r="AL25" s="1247"/>
      <c r="AM25" s="1247"/>
      <c r="AN25" s="1247"/>
      <c r="AO25" s="1247"/>
      <c r="AP25" s="1247"/>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287"/>
      <c r="AC27" s="1287"/>
      <c r="AD27" s="1287"/>
      <c r="AE27" s="1287"/>
      <c r="AF27" s="11"/>
      <c r="AG27" s="1287" t="str">
        <f>IF(TITLE_NAME_OR_PR_CHANGE="",IF(TITLE_NAME_OR_PR="","",TITLE_NAME_OR_PR),TITLE_NAME_OR_PR_CHANGE)</f>
        <v>Региональная служба по тарифам Ханты-Мансийского автономного округа – Югры (РСТ Югры)</v>
      </c>
      <c r="AH27" s="1287"/>
      <c r="AI27" s="1287"/>
      <c r="AJ27" s="1287"/>
      <c r="AK27" s="1287"/>
      <c r="AL27" s="1287"/>
      <c r="AM27" s="1287"/>
      <c r="AN27" s="1287"/>
      <c r="AO27" s="1287"/>
      <c r="AP27" s="1287"/>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286"/>
      <c r="AC28" s="1286"/>
      <c r="AD28" s="1286"/>
      <c r="AE28" s="1286"/>
      <c r="AF28" s="11"/>
      <c r="AG28" s="1286">
        <f>IF(TITLE_DATE_PR_CHANGE="",IF(TITLE_DATE_PR="","",TITLE_DATE_PR),TITLE_DATE_PR_CHANGE)</f>
        <v>45999</v>
      </c>
      <c r="AH28" s="1286"/>
      <c r="AI28" s="1286"/>
      <c r="AJ28" s="1286"/>
      <c r="AK28" s="1286"/>
      <c r="AL28" s="1286"/>
      <c r="AM28" s="1286"/>
      <c r="AN28" s="1286"/>
      <c r="AO28" s="1286"/>
      <c r="AP28" s="1286"/>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287"/>
      <c r="AC29" s="1287"/>
      <c r="AD29" s="1287"/>
      <c r="AE29" s="1287"/>
      <c r="AF29" s="11"/>
      <c r="AG29" s="1287" t="str">
        <f>IF(TITLE_NUMBER_PR_CHANGE="",IF(TITLE_NUMBER_PR="","",TITLE_NUMBER_PR),TITLE_NUMBER_PR_CHANGE)</f>
        <v>94-нп</v>
      </c>
      <c r="AH29" s="1287"/>
      <c r="AI29" s="1287"/>
      <c r="AJ29" s="1287"/>
      <c r="AK29" s="1287"/>
      <c r="AL29" s="1287"/>
      <c r="AM29" s="1287"/>
      <c r="AN29" s="1287"/>
      <c r="AO29" s="1287"/>
      <c r="AP29" s="1287"/>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287"/>
      <c r="AC30" s="1287"/>
      <c r="AD30" s="1287"/>
      <c r="AE30" s="1287"/>
      <c r="AF30" s="11"/>
      <c r="AG30" s="1287" t="str">
        <f>IF(TITLE_IST_PUB_CHANGE="",IF(TITLE_IST_PUB="","",TITLE_IST_PUB),TITLE_IST_PUB_CHANGE)</f>
        <v>«Официальный интернет-портал правовой информации» (www.pravo.gov.ru)</v>
      </c>
      <c r="AH30" s="1287"/>
      <c r="AI30" s="1287"/>
      <c r="AJ30" s="1287"/>
      <c r="AK30" s="1287"/>
      <c r="AL30" s="1287"/>
      <c r="AM30" s="1287"/>
      <c r="AN30" s="1287"/>
      <c r="AO30" s="1287"/>
      <c r="AP30" s="128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286"/>
      <c r="AC32" s="1286"/>
      <c r="AD32" s="1286"/>
      <c r="AE32" s="1286"/>
      <c r="AF32" s="11"/>
      <c r="AG32" s="1286">
        <f>IF(TITLE_DATE_PR_CHANGE="",IF(TITLE_DATE_PR="","",TITLE_DATE_PR),TITLE_DATE_PR_CHANGE)</f>
        <v>45999</v>
      </c>
      <c r="AH32" s="1286"/>
      <c r="AI32" s="1286"/>
      <c r="AJ32" s="1286"/>
      <c r="AK32" s="1286"/>
      <c r="AL32" s="1286"/>
      <c r="AM32" s="1286"/>
      <c r="AN32" s="1286"/>
      <c r="AO32" s="1286"/>
      <c r="AP32" s="128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287"/>
      <c r="AC33" s="1287"/>
      <c r="AD33" s="1287"/>
      <c r="AE33" s="1287"/>
      <c r="AF33" s="11"/>
      <c r="AG33" s="1287" t="str">
        <f>IF(TITLE_NUMBER_PR_CHANGE="",IF(TITLE_NUMBER_PR="","",TITLE_NUMBER_PR),TITLE_NUMBER_PR_CHANGE)</f>
        <v>94-нп</v>
      </c>
      <c r="AH33" s="1287"/>
      <c r="AI33" s="1287"/>
      <c r="AJ33" s="1287"/>
      <c r="AK33" s="1287"/>
      <c r="AL33" s="1287"/>
      <c r="AM33" s="1287"/>
      <c r="AN33" s="1287"/>
      <c r="AO33" s="1287"/>
      <c r="AP33" s="1287"/>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7" customHeight="1">
      <c r="Q35" s="28"/>
      <c r="R35" s="28"/>
      <c r="S35" s="739"/>
      <c r="T35" s="10"/>
      <c r="U35" s="720"/>
      <c r="V35" s="1306"/>
      <c r="W35" s="1306"/>
      <c r="X35" s="1306"/>
      <c r="Y35" s="1306"/>
      <c r="Z35" s="1306"/>
      <c r="AA35" s="1306"/>
      <c r="AB35" s="1306"/>
      <c r="AC35" s="1306"/>
      <c r="AD35" s="1306"/>
      <c r="AE35" s="1306"/>
      <c r="AF35" s="1306"/>
      <c r="AG35" s="1306"/>
      <c r="AH35" s="1306"/>
      <c r="AI35" s="1306"/>
      <c r="AJ35" s="1306"/>
      <c r="AK35" s="1306"/>
      <c r="AL35" s="1306"/>
      <c r="AM35" s="1306"/>
      <c r="AN35" s="1306"/>
      <c r="AO35" s="1306"/>
      <c r="AP35" s="1306"/>
      <c r="AQ35" s="1306"/>
      <c r="AY35" s="11">
        <v>14</v>
      </c>
    </row>
    <row r="36" spans="1:51"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c r="AL36" s="1158"/>
      <c r="AM36" s="1158"/>
      <c r="AN36" s="1158"/>
      <c r="AO36" s="1158"/>
      <c r="AP36" s="1158"/>
      <c r="AQ36" s="1158"/>
      <c r="AR36" s="1158"/>
      <c r="AS36" s="1158" t="s">
        <v>305</v>
      </c>
      <c r="AY36" s="11">
        <v>14</v>
      </c>
    </row>
    <row r="37" spans="1:51" ht="14.7" customHeight="1">
      <c r="Q37" s="28"/>
      <c r="R37" s="28"/>
      <c r="S37" s="1307" t="s">
        <v>89</v>
      </c>
      <c r="T37" s="1255" t="s">
        <v>430</v>
      </c>
      <c r="U37" s="172"/>
      <c r="V37" s="1308" t="s">
        <v>431</v>
      </c>
      <c r="W37" s="1324"/>
      <c r="X37" s="1324"/>
      <c r="Y37" s="1324"/>
      <c r="Z37" s="1324"/>
      <c r="AA37" s="1324"/>
      <c r="AB37" s="1324"/>
      <c r="AC37" s="1309"/>
      <c r="AD37" s="1309"/>
      <c r="AE37" s="1310"/>
      <c r="AF37" s="1311" t="s">
        <v>432</v>
      </c>
      <c r="AG37" s="1308" t="s">
        <v>431</v>
      </c>
      <c r="AH37" s="1309"/>
      <c r="AI37" s="1309"/>
      <c r="AJ37" s="1309"/>
      <c r="AK37" s="1309"/>
      <c r="AL37" s="1309"/>
      <c r="AM37" s="1309"/>
      <c r="AN37" s="1309"/>
      <c r="AO37" s="1309"/>
      <c r="AP37" s="1310"/>
      <c r="AQ37" s="1311" t="s">
        <v>433</v>
      </c>
      <c r="AR37" s="1314" t="s">
        <v>434</v>
      </c>
      <c r="AS37" s="1158"/>
      <c r="AY37" s="11">
        <v>14</v>
      </c>
    </row>
    <row r="38" spans="1:51" ht="19.95" customHeight="1">
      <c r="Q38" s="28"/>
      <c r="R38" s="28"/>
      <c r="S38" s="1307"/>
      <c r="T38" s="1255"/>
      <c r="U38" s="607"/>
      <c r="V38" s="1158" t="s">
        <v>535</v>
      </c>
      <c r="W38" s="1401" t="s">
        <v>536</v>
      </c>
      <c r="X38" s="1401"/>
      <c r="Y38" s="1401"/>
      <c r="Z38" s="1401" t="s">
        <v>537</v>
      </c>
      <c r="AA38" s="1401"/>
      <c r="AB38" s="1401"/>
      <c r="AC38" s="1228" t="s">
        <v>438</v>
      </c>
      <c r="AD38" s="1336"/>
      <c r="AE38" s="1229"/>
      <c r="AF38" s="1312"/>
      <c r="AG38" s="1158" t="s">
        <v>535</v>
      </c>
      <c r="AH38" s="1401" t="s">
        <v>536</v>
      </c>
      <c r="AI38" s="1401"/>
      <c r="AJ38" s="1401"/>
      <c r="AK38" s="1401" t="s">
        <v>537</v>
      </c>
      <c r="AL38" s="1401"/>
      <c r="AM38" s="1401"/>
      <c r="AN38" s="1228" t="s">
        <v>438</v>
      </c>
      <c r="AO38" s="1336"/>
      <c r="AP38" s="1229"/>
      <c r="AQ38" s="1312"/>
      <c r="AR38" s="1315"/>
      <c r="AS38" s="1158"/>
      <c r="AY38" s="11">
        <v>19</v>
      </c>
    </row>
    <row r="39" spans="1:51" s="11" customFormat="1" ht="19.95" customHeight="1">
      <c r="A39" s="63"/>
      <c r="B39" s="63"/>
      <c r="C39" s="63"/>
      <c r="D39" s="63"/>
      <c r="E39" s="63"/>
      <c r="F39" s="63"/>
      <c r="G39" s="63"/>
      <c r="H39" s="63"/>
      <c r="I39" s="63"/>
      <c r="J39" s="63"/>
      <c r="K39" s="63"/>
      <c r="L39" s="301"/>
      <c r="M39" s="506"/>
      <c r="N39" s="506"/>
      <c r="O39" s="506"/>
      <c r="P39" s="33"/>
      <c r="Q39" s="28"/>
      <c r="R39" s="28"/>
      <c r="S39" s="1307"/>
      <c r="T39" s="1255"/>
      <c r="U39" s="607"/>
      <c r="V39" s="1158"/>
      <c r="W39" s="1401" t="s">
        <v>538</v>
      </c>
      <c r="X39" s="1401" t="s">
        <v>539</v>
      </c>
      <c r="Y39" s="1401"/>
      <c r="Z39" s="1401" t="s">
        <v>540</v>
      </c>
      <c r="AA39" s="1401" t="s">
        <v>539</v>
      </c>
      <c r="AB39" s="1401"/>
      <c r="AC39" s="1233"/>
      <c r="AD39" s="1337"/>
      <c r="AE39" s="1234"/>
      <c r="AF39" s="1312"/>
      <c r="AG39" s="1158"/>
      <c r="AH39" s="1401" t="s">
        <v>538</v>
      </c>
      <c r="AI39" s="1401" t="s">
        <v>539</v>
      </c>
      <c r="AJ39" s="1401"/>
      <c r="AK39" s="1401" t="s">
        <v>540</v>
      </c>
      <c r="AL39" s="1401" t="s">
        <v>539</v>
      </c>
      <c r="AM39" s="1401"/>
      <c r="AN39" s="1233"/>
      <c r="AO39" s="1337"/>
      <c r="AP39" s="1234"/>
      <c r="AQ39" s="1312"/>
      <c r="AR39" s="1315"/>
      <c r="AS39" s="1158"/>
      <c r="AT39" s="68"/>
      <c r="AU39" s="68"/>
      <c r="AV39" s="68"/>
      <c r="AW39" s="68"/>
      <c r="AX39" s="68"/>
      <c r="AY39" s="11">
        <v>19</v>
      </c>
    </row>
    <row r="40" spans="1:51" ht="61.95"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07"/>
      <c r="T40" s="1255"/>
      <c r="U40" s="173"/>
      <c r="V40" s="1158"/>
      <c r="W40" s="1401"/>
      <c r="X40" s="1053" t="s">
        <v>541</v>
      </c>
      <c r="Y40" s="1053" t="s">
        <v>542</v>
      </c>
      <c r="Z40" s="1401"/>
      <c r="AA40" s="1053" t="s">
        <v>543</v>
      </c>
      <c r="AB40" s="1053" t="s">
        <v>544</v>
      </c>
      <c r="AC40" s="39" t="s">
        <v>448</v>
      </c>
      <c r="AD40" s="1260" t="s">
        <v>449</v>
      </c>
      <c r="AE40" s="1274"/>
      <c r="AF40" s="1313"/>
      <c r="AG40" s="1158"/>
      <c r="AH40" s="1401"/>
      <c r="AI40" s="1053" t="s">
        <v>541</v>
      </c>
      <c r="AJ40" s="1053" t="s">
        <v>542</v>
      </c>
      <c r="AK40" s="1401"/>
      <c r="AL40" s="1053" t="s">
        <v>543</v>
      </c>
      <c r="AM40" s="1053" t="s">
        <v>544</v>
      </c>
      <c r="AN40" s="39" t="s">
        <v>448</v>
      </c>
      <c r="AO40" s="1260" t="s">
        <v>449</v>
      </c>
      <c r="AP40" s="1274"/>
      <c r="AQ40" s="1313"/>
      <c r="AR40" s="1316"/>
      <c r="AS40" s="115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305">
        <f ca="1">OFFSET(AD41,0,-1)+1</f>
        <v>2</v>
      </c>
      <c r="AE41" s="1305"/>
      <c r="AF41" s="727">
        <f ca="1">OFFSET(AF41,0,-2)+1</f>
        <v>3</v>
      </c>
      <c r="AG41" s="727">
        <f ca="1">OFFSET(AG41,0,-1)+1</f>
        <v>4</v>
      </c>
      <c r="AH41" s="727"/>
      <c r="AI41" s="727"/>
      <c r="AJ41" s="727"/>
      <c r="AK41" s="727"/>
      <c r="AL41" s="727"/>
      <c r="AM41" s="727">
        <f ca="1">OFFSET(AM41,0,-1)+1</f>
        <v>1</v>
      </c>
      <c r="AN41" s="727">
        <f ca="1">OFFSET(AN41,0,-1)+1</f>
        <v>2</v>
      </c>
      <c r="AO41" s="1305">
        <f ca="1">OFFSET(AO41,0,-1)+1</f>
        <v>3</v>
      </c>
      <c r="AP41" s="1305"/>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94">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88"/>
      <c r="W42" s="1289"/>
      <c r="X42" s="1289"/>
      <c r="Y42" s="1289"/>
      <c r="Z42" s="1289"/>
      <c r="AA42" s="1289"/>
      <c r="AB42" s="1289"/>
      <c r="AC42" s="1289"/>
      <c r="AD42" s="1289"/>
      <c r="AE42" s="1289"/>
      <c r="AF42" s="1290"/>
      <c r="AG42" s="1288" t="str">
        <f>INDEX(PT_DIFFERENTIATION_NTAR,MATCH(A42,PT_DIFFERENTIATION_NTAR_ID,0))</f>
        <v/>
      </c>
      <c r="AH42" s="1289"/>
      <c r="AI42" s="1289"/>
      <c r="AJ42" s="1289"/>
      <c r="AK42" s="1289"/>
      <c r="AL42" s="1289"/>
      <c r="AM42" s="1289"/>
      <c r="AN42" s="1289"/>
      <c r="AO42" s="1289"/>
      <c r="AP42" s="1289"/>
      <c r="AQ42" s="1289"/>
      <c r="AR42" s="129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95"/>
      <c r="F43" s="1294">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88"/>
      <c r="W43" s="1289"/>
      <c r="X43" s="1289"/>
      <c r="Y43" s="1289"/>
      <c r="Z43" s="1289"/>
      <c r="AA43" s="1289"/>
      <c r="AB43" s="1289"/>
      <c r="AC43" s="1289"/>
      <c r="AD43" s="1289"/>
      <c r="AE43" s="1289"/>
      <c r="AF43" s="1290"/>
      <c r="AG43" s="1288" t="str">
        <f>INDEX(PT_DIFFERENTIATION_TER,MATCH(B43,PT_DIFFERENTIATION_TER_ID,0))</f>
        <v/>
      </c>
      <c r="AH43" s="1289"/>
      <c r="AI43" s="1289"/>
      <c r="AJ43" s="1289"/>
      <c r="AK43" s="1289"/>
      <c r="AL43" s="1289"/>
      <c r="AM43" s="1289"/>
      <c r="AN43" s="1289"/>
      <c r="AO43" s="1289"/>
      <c r="AP43" s="1289"/>
      <c r="AQ43" s="1289"/>
      <c r="AR43" s="1290"/>
      <c r="AS43" s="729" t="s">
        <v>402</v>
      </c>
      <c r="AU43" s="69"/>
      <c r="AV43" s="69" t="str">
        <f t="shared" si="1"/>
        <v>Территория действия тарифа</v>
      </c>
      <c r="AW43" s="69"/>
      <c r="AX43" s="69"/>
      <c r="AY43" s="11">
        <v>23</v>
      </c>
    </row>
    <row r="44" spans="1:51" ht="24" customHeight="1">
      <c r="A44" s="769" t="s">
        <v>250</v>
      </c>
      <c r="B44" s="769" t="s">
        <v>251</v>
      </c>
      <c r="C44" s="769" t="s">
        <v>252</v>
      </c>
      <c r="D44" s="769"/>
      <c r="E44" s="1295"/>
      <c r="F44" s="1295"/>
      <c r="G44" s="1294">
        <v>1</v>
      </c>
      <c r="H44" s="769"/>
      <c r="I44" s="769"/>
      <c r="J44" s="769"/>
      <c r="K44" s="769"/>
      <c r="L44" s="770"/>
      <c r="M44" s="426"/>
      <c r="N44" s="426"/>
      <c r="O44" s="426"/>
      <c r="P44" s="206"/>
      <c r="Q44" s="204"/>
      <c r="R44" s="205"/>
      <c r="S44" s="709" t="str">
        <f>INDEX(PT_DIFFERENTIATION_NUM_CS,MATCH(C44,PT_DIFFERENTIATION_CS_ID,0))</f>
        <v>..</v>
      </c>
      <c r="T44" s="178" t="s">
        <v>533</v>
      </c>
      <c r="U44" s="171"/>
      <c r="V44" s="1288"/>
      <c r="W44" s="1289"/>
      <c r="X44" s="1289"/>
      <c r="Y44" s="1289"/>
      <c r="Z44" s="1289"/>
      <c r="AA44" s="1289"/>
      <c r="AB44" s="1289"/>
      <c r="AC44" s="1289"/>
      <c r="AD44" s="1289"/>
      <c r="AE44" s="1289"/>
      <c r="AF44" s="1290"/>
      <c r="AG44" s="1288" t="str">
        <f>INDEX(PT_DIFFERENTIATION_CS,MATCH(C44,PT_DIFFERENTIATION_CS_ID,0))</f>
        <v/>
      </c>
      <c r="AH44" s="1289"/>
      <c r="AI44" s="1289"/>
      <c r="AJ44" s="1289"/>
      <c r="AK44" s="1289"/>
      <c r="AL44" s="1289"/>
      <c r="AM44" s="1289"/>
      <c r="AN44" s="1289"/>
      <c r="AO44" s="1289"/>
      <c r="AP44" s="1289"/>
      <c r="AQ44" s="1289"/>
      <c r="AR44" s="129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545</v>
      </c>
      <c r="E45" s="1295"/>
      <c r="F45" s="1295"/>
      <c r="G45" s="1295"/>
      <c r="H45" s="1295"/>
      <c r="I45" s="1296" t="str">
        <f>S44&amp;".1"</f>
        <v>...1</v>
      </c>
      <c r="J45" s="769"/>
      <c r="K45" s="769"/>
      <c r="L45" s="770"/>
      <c r="P45" s="1298">
        <v>1</v>
      </c>
      <c r="Q45" s="122"/>
      <c r="R45" s="208"/>
      <c r="S45" s="709" t="str">
        <f>$I45</f>
        <v>...1</v>
      </c>
      <c r="T45" s="164" t="s">
        <v>484</v>
      </c>
      <c r="U45" s="171"/>
      <c r="V45" s="1362"/>
      <c r="W45" s="1363"/>
      <c r="X45" s="1363"/>
      <c r="Y45" s="1363"/>
      <c r="Z45" s="1363"/>
      <c r="AA45" s="1363"/>
      <c r="AB45" s="1363"/>
      <c r="AC45" s="1363"/>
      <c r="AD45" s="1363"/>
      <c r="AE45" s="1363"/>
      <c r="AF45" s="1364"/>
      <c r="AG45" s="1365"/>
      <c r="AH45" s="1366"/>
      <c r="AI45" s="1366"/>
      <c r="AJ45" s="1366"/>
      <c r="AK45" s="1366"/>
      <c r="AL45" s="1366"/>
      <c r="AM45" s="1366"/>
      <c r="AN45" s="1366"/>
      <c r="AO45" s="1366"/>
      <c r="AP45" s="1366"/>
      <c r="AQ45" s="1366"/>
      <c r="AR45" s="1367"/>
      <c r="AS45" s="729" t="s">
        <v>485</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545</v>
      </c>
      <c r="E46" s="1295"/>
      <c r="F46" s="1295"/>
      <c r="G46" s="1295"/>
      <c r="H46" s="1295"/>
      <c r="I46" s="1297"/>
      <c r="J46" s="1296" t="str">
        <f>I45&amp;".1"</f>
        <v>...1.1</v>
      </c>
      <c r="K46" s="769"/>
      <c r="L46" s="770" t="s">
        <v>410</v>
      </c>
      <c r="P46" s="1298"/>
      <c r="Q46" s="1298">
        <v>1</v>
      </c>
      <c r="R46" s="209"/>
      <c r="S46" s="709" t="str">
        <f>$J46</f>
        <v>...1.1</v>
      </c>
      <c r="T46" s="165" t="s">
        <v>411</v>
      </c>
      <c r="U46" s="171"/>
      <c r="V46" s="1282"/>
      <c r="W46" s="1283"/>
      <c r="X46" s="1283"/>
      <c r="Y46" s="1283"/>
      <c r="Z46" s="1283"/>
      <c r="AA46" s="1283"/>
      <c r="AB46" s="1283"/>
      <c r="AC46" s="1283"/>
      <c r="AD46" s="1283"/>
      <c r="AE46" s="1283"/>
      <c r="AF46" s="1284"/>
      <c r="AG46" s="1282"/>
      <c r="AH46" s="1283"/>
      <c r="AI46" s="1283"/>
      <c r="AJ46" s="1283"/>
      <c r="AK46" s="1283"/>
      <c r="AL46" s="1283"/>
      <c r="AM46" s="1283"/>
      <c r="AN46" s="1283"/>
      <c r="AO46" s="1283"/>
      <c r="AP46" s="1283"/>
      <c r="AQ46" s="1283"/>
      <c r="AR46" s="1284"/>
      <c r="AS46" s="753" t="s">
        <v>486</v>
      </c>
      <c r="AU46" s="69"/>
      <c r="AV46" s="69" t="str">
        <f t="shared" si="1"/>
        <v>Группа потребителей</v>
      </c>
      <c r="AW46" s="69"/>
      <c r="AX46" s="69"/>
      <c r="AY46" s="11">
        <v>23</v>
      </c>
    </row>
    <row r="47" spans="1:51" ht="24" customHeight="1">
      <c r="A47" s="769" t="s">
        <v>250</v>
      </c>
      <c r="B47" s="769" t="s">
        <v>251</v>
      </c>
      <c r="C47" s="769" t="s">
        <v>252</v>
      </c>
      <c r="D47" s="769" t="s">
        <v>545</v>
      </c>
      <c r="E47" s="1295"/>
      <c r="F47" s="1295"/>
      <c r="G47" s="1295"/>
      <c r="H47" s="1295"/>
      <c r="I47" s="1297"/>
      <c r="J47" s="1297"/>
      <c r="K47" s="1296" t="str">
        <f>J46&amp;".1"</f>
        <v>...1.1.1</v>
      </c>
      <c r="L47" s="770"/>
      <c r="P47" s="1298"/>
      <c r="Q47" s="1298"/>
      <c r="R47" s="209">
        <v>1</v>
      </c>
      <c r="S47" s="709" t="str">
        <f>$K47</f>
        <v>...1.1.1</v>
      </c>
      <c r="T47" s="812"/>
      <c r="U47" s="171"/>
      <c r="V47" s="306"/>
      <c r="W47" s="306"/>
      <c r="X47" s="306"/>
      <c r="Y47" s="306"/>
      <c r="Z47" s="306"/>
      <c r="AA47" s="306"/>
      <c r="AB47" s="306"/>
      <c r="AC47" s="1292"/>
      <c r="AD47" s="1291" t="s">
        <v>67</v>
      </c>
      <c r="AE47" s="1292"/>
      <c r="AF47" s="1291" t="s">
        <v>67</v>
      </c>
      <c r="AG47" s="306"/>
      <c r="AH47" s="306"/>
      <c r="AI47" s="306"/>
      <c r="AJ47" s="306"/>
      <c r="AK47" s="306"/>
      <c r="AL47" s="306"/>
      <c r="AM47" s="306"/>
      <c r="AN47" s="1299"/>
      <c r="AO47" s="1168" t="s">
        <v>67</v>
      </c>
      <c r="AP47" s="1301"/>
      <c r="AQ47" s="1168" t="s">
        <v>19</v>
      </c>
      <c r="AR47" s="813"/>
      <c r="AS4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545</v>
      </c>
      <c r="E48" s="1295"/>
      <c r="F48" s="1295"/>
      <c r="G48" s="1295"/>
      <c r="H48" s="1295"/>
      <c r="I48" s="1297"/>
      <c r="J48" s="1297"/>
      <c r="K48" s="1296"/>
      <c r="L48" s="770"/>
      <c r="P48" s="1298"/>
      <c r="Q48" s="1298"/>
      <c r="R48" s="209"/>
      <c r="S48" s="65"/>
      <c r="T48" s="171"/>
      <c r="U48" s="171"/>
      <c r="V48" s="368"/>
      <c r="W48" s="368"/>
      <c r="X48" s="368"/>
      <c r="Y48" s="368"/>
      <c r="Z48" s="368"/>
      <c r="AA48" s="368"/>
      <c r="AB48" s="368"/>
      <c r="AC48" s="1291"/>
      <c r="AD48" s="1291"/>
      <c r="AE48" s="1291"/>
      <c r="AF48" s="1291"/>
      <c r="AG48" s="191"/>
      <c r="AH48" s="191"/>
      <c r="AI48" s="191"/>
      <c r="AJ48" s="191"/>
      <c r="AK48" s="191"/>
      <c r="AL48" s="191"/>
      <c r="AM48" s="191"/>
      <c r="AN48" s="1300"/>
      <c r="AO48" s="1168"/>
      <c r="AP48" s="1302"/>
      <c r="AQ48" s="1168"/>
      <c r="AR48" s="388"/>
      <c r="AS48" s="1368"/>
      <c r="AU48" s="69"/>
      <c r="AV48" s="69" t="str">
        <f t="shared" si="1"/>
        <v/>
      </c>
      <c r="AW48" s="69"/>
      <c r="AX48" s="69"/>
      <c r="AY48" s="11">
        <v>0</v>
      </c>
    </row>
    <row r="49" spans="1:51" ht="21" customHeight="1">
      <c r="A49" s="769" t="s">
        <v>250</v>
      </c>
      <c r="B49" s="769" t="s">
        <v>251</v>
      </c>
      <c r="C49" s="769" t="s">
        <v>252</v>
      </c>
      <c r="D49" s="769" t="s">
        <v>545</v>
      </c>
      <c r="E49" s="1295"/>
      <c r="F49" s="1295"/>
      <c r="G49" s="1295"/>
      <c r="H49" s="1295"/>
      <c r="I49" s="1297"/>
      <c r="J49" s="1296"/>
      <c r="K49" s="769"/>
      <c r="L49" s="770"/>
      <c r="P49" s="1298"/>
      <c r="Q49" s="129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2.05" customHeight="1">
      <c r="A50" s="769" t="s">
        <v>250</v>
      </c>
      <c r="B50" s="769" t="s">
        <v>251</v>
      </c>
      <c r="C50" s="769" t="s">
        <v>252</v>
      </c>
      <c r="D50" s="769" t="s">
        <v>545</v>
      </c>
      <c r="E50" s="1295"/>
      <c r="F50" s="1295"/>
      <c r="G50" s="1295"/>
      <c r="H50" s="1295"/>
      <c r="I50" s="1296"/>
      <c r="J50" s="769"/>
      <c r="K50" s="769"/>
      <c r="L50" s="770"/>
      <c r="P50" s="1298"/>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250</v>
      </c>
      <c r="B51" s="769" t="s">
        <v>251</v>
      </c>
      <c r="C51" s="769" t="s">
        <v>252</v>
      </c>
      <c r="D51" s="769" t="s">
        <v>545</v>
      </c>
      <c r="E51" s="1295"/>
      <c r="F51" s="1295"/>
      <c r="G51" s="1295"/>
      <c r="H51" s="129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95"/>
      <c r="F52" s="1294"/>
      <c r="G52" s="145"/>
      <c r="H52" s="145"/>
      <c r="I52" s="145"/>
      <c r="J52" s="145"/>
      <c r="K52" s="145"/>
      <c r="L52" s="346"/>
      <c r="M52" s="759"/>
      <c r="N52" s="759"/>
      <c r="P52" s="104"/>
      <c r="Q52" s="755"/>
      <c r="R52" s="104"/>
      <c r="S52" s="760"/>
      <c r="T52" s="762" t="s">
        <v>275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94"/>
      <c r="F53" s="145"/>
      <c r="G53" s="145"/>
      <c r="H53" s="145"/>
      <c r="I53" s="145"/>
      <c r="J53" s="145"/>
      <c r="K53" s="145"/>
      <c r="L53" s="346"/>
      <c r="M53" s="759"/>
      <c r="N53" s="759"/>
      <c r="P53" s="104"/>
      <c r="Q53" s="755"/>
      <c r="R53" s="104"/>
      <c r="S53" s="760"/>
      <c r="T53" s="762" t="s">
        <v>276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7" customHeight="1">
      <c r="O56" s="63"/>
      <c r="S56" s="198"/>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c r="AO56" s="1293"/>
      <c r="AP56" s="1293"/>
      <c r="AQ56" s="1293"/>
      <c r="AR56" s="1293"/>
      <c r="AS56" s="1293"/>
      <c r="AY56" s="11">
        <v>14</v>
      </c>
    </row>
    <row r="57" spans="1:51" ht="14.7" customHeight="1">
      <c r="O57" s="63"/>
      <c r="AY57" s="11">
        <v>14</v>
      </c>
    </row>
    <row r="58" spans="1:51" ht="14.7" customHeight="1">
      <c r="O58" s="63"/>
      <c r="S58" s="198"/>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c r="AO58" s="1293"/>
      <c r="AP58" s="1293"/>
      <c r="AQ58" s="1293"/>
      <c r="AR58" s="1293"/>
      <c r="AS58" s="1293"/>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0" style="63" hidden="1" customWidth="1"/>
    <col min="6" max="6" width="8.75" style="63" hidden="1" customWidth="1"/>
    <col min="7" max="7" width="7.625" style="63" hidden="1" customWidth="1"/>
    <col min="8" max="8" width="11.375" style="63" hidden="1" customWidth="1"/>
    <col min="9" max="9" width="14.125" style="63" hidden="1" customWidth="1"/>
    <col min="10" max="10" width="9.875" style="63" hidden="1" customWidth="1"/>
    <col min="11" max="11" width="14.75" style="63" hidden="1" customWidth="1"/>
    <col min="12" max="12" width="19.125" style="301" hidden="1" customWidth="1"/>
    <col min="13" max="14" width="12.25" style="506" hidden="1" customWidth="1"/>
    <col min="15" max="15" width="23.375" style="506" hidden="1" customWidth="1"/>
    <col min="16" max="16" width="3" style="33" customWidth="1"/>
    <col min="17" max="18" width="3" style="29" customWidth="1"/>
    <col min="19" max="19" width="12" style="342" customWidth="1"/>
    <col min="20" max="20" width="35" style="11" customWidth="1"/>
    <col min="21" max="21" width="0.125" style="11" customWidth="1"/>
    <col min="22" max="28" width="19.75" style="11" hidden="1" customWidth="1"/>
    <col min="29" max="29" width="11.75" style="11" hidden="1" customWidth="1"/>
    <col min="30" max="30" width="3.75" style="11" hidden="1" customWidth="1"/>
    <col min="31" max="31" width="11.75" style="11" hidden="1" customWidth="1"/>
    <col min="32" max="32" width="8.625" style="11" hidden="1" customWidth="1"/>
    <col min="33" max="33" width="19.75" style="11" customWidth="1"/>
    <col min="34" max="39" width="19" style="11" customWidth="1"/>
    <col min="40" max="40" width="11" style="11" customWidth="1"/>
    <col min="41" max="41" width="3.75" style="11" customWidth="1"/>
    <col min="42" max="42" width="11" style="11" customWidth="1"/>
    <col min="43" max="43" width="8.625" style="11" hidden="1" customWidth="1"/>
    <col min="44" max="44" width="4" style="11" customWidth="1"/>
    <col min="45" max="45" width="115" style="11" customWidth="1"/>
    <col min="46" max="50" width="10" style="68" customWidth="1"/>
    <col min="51" max="51" width="10.625" style="11" hidden="1"/>
  </cols>
  <sheetData>
    <row r="1" spans="1:51" ht="22.5" hidden="1" customHeight="1">
      <c r="AY1" s="11" t="s">
        <v>14</v>
      </c>
    </row>
    <row r="2" spans="1:51" ht="23.25" hidden="1" customHeight="1">
      <c r="A2" s="769"/>
      <c r="B2" s="769"/>
      <c r="C2" s="769"/>
      <c r="D2" s="769"/>
      <c r="E2" s="1294">
        <v>1</v>
      </c>
      <c r="F2" s="769"/>
      <c r="G2" s="769"/>
      <c r="H2" s="769"/>
      <c r="I2" s="769"/>
      <c r="J2" s="769"/>
      <c r="K2" s="769"/>
      <c r="L2" s="770"/>
      <c r="M2" s="426"/>
      <c r="N2" s="426"/>
      <c r="O2" s="426"/>
      <c r="Q2" s="34"/>
      <c r="R2" s="207"/>
      <c r="S2" s="709" t="e">
        <f>INDEX(PT_DIFFERENTIATION_NUM_NTAR,MATCH(A2,PT_DIFFERENTIATION_NTAR_ID,0))</f>
        <v>#N/A</v>
      </c>
      <c r="T2" s="67" t="s">
        <v>124</v>
      </c>
      <c r="U2" s="171"/>
      <c r="V2" s="1288"/>
      <c r="W2" s="1289"/>
      <c r="X2" s="1289"/>
      <c r="Y2" s="1289"/>
      <c r="Z2" s="1289"/>
      <c r="AA2" s="1289"/>
      <c r="AB2" s="1289"/>
      <c r="AC2" s="1289"/>
      <c r="AD2" s="1289"/>
      <c r="AE2" s="1289"/>
      <c r="AF2" s="1290"/>
      <c r="AG2" s="1288" t="e">
        <f>INDEX(PT_DIFFERENTIATION_NTAR,MATCH(A2,PT_DIFFERENTIATION_NTAR_ID,0))</f>
        <v>#N/A</v>
      </c>
      <c r="AH2" s="1289"/>
      <c r="AI2" s="1289"/>
      <c r="AJ2" s="1289"/>
      <c r="AK2" s="1289"/>
      <c r="AL2" s="1289"/>
      <c r="AM2" s="1289"/>
      <c r="AN2" s="1289"/>
      <c r="AO2" s="1289"/>
      <c r="AP2" s="1289"/>
      <c r="AQ2" s="1289"/>
      <c r="AR2" s="129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5"/>
      <c r="F3" s="1294">
        <v>1</v>
      </c>
      <c r="G3" s="769"/>
      <c r="H3" s="769"/>
      <c r="I3" s="769"/>
      <c r="J3" s="769"/>
      <c r="K3" s="769"/>
      <c r="L3" s="770"/>
      <c r="M3" s="426"/>
      <c r="N3" s="426"/>
      <c r="O3" s="426"/>
      <c r="P3" s="58"/>
      <c r="Q3" s="204"/>
      <c r="R3" s="205"/>
      <c r="S3" s="709" t="e">
        <f>INDEX(PT_DIFFERENTIATION_NUM_TER,MATCH(B3,PT_DIFFERENTIATION_TER_ID,0))</f>
        <v>#N/A</v>
      </c>
      <c r="T3" s="177" t="s">
        <v>401</v>
      </c>
      <c r="U3" s="171"/>
      <c r="V3" s="1288"/>
      <c r="W3" s="1289"/>
      <c r="X3" s="1289"/>
      <c r="Y3" s="1289"/>
      <c r="Z3" s="1289"/>
      <c r="AA3" s="1289"/>
      <c r="AB3" s="1289"/>
      <c r="AC3" s="1289"/>
      <c r="AD3" s="1289"/>
      <c r="AE3" s="1289"/>
      <c r="AF3" s="1290"/>
      <c r="AG3" s="1288" t="e">
        <f>INDEX(PT_DIFFERENTIATION_TER,MATCH(B3,PT_DIFFERENTIATION_TER_ID,0))</f>
        <v>#N/A</v>
      </c>
      <c r="AH3" s="1289"/>
      <c r="AI3" s="1289"/>
      <c r="AJ3" s="1289"/>
      <c r="AK3" s="1289"/>
      <c r="AL3" s="1289"/>
      <c r="AM3" s="1289"/>
      <c r="AN3" s="1289"/>
      <c r="AO3" s="1289"/>
      <c r="AP3" s="1289"/>
      <c r="AQ3" s="1289"/>
      <c r="AR3" s="1290"/>
      <c r="AS3" s="729" t="s">
        <v>402</v>
      </c>
      <c r="AU3" s="69"/>
      <c r="AV3" s="69" t="str">
        <f t="shared" si="0"/>
        <v>Территория действия тарифа</v>
      </c>
      <c r="AW3" s="69"/>
      <c r="AX3" s="69"/>
      <c r="AY3" s="11">
        <v>0</v>
      </c>
    </row>
    <row r="4" spans="1:51" ht="23.25" hidden="1" customHeight="1">
      <c r="A4" s="769"/>
      <c r="B4" s="769"/>
      <c r="C4" s="769"/>
      <c r="D4" s="769"/>
      <c r="E4" s="1295"/>
      <c r="F4" s="1295"/>
      <c r="G4" s="1294">
        <v>1</v>
      </c>
      <c r="H4" s="769"/>
      <c r="I4" s="769"/>
      <c r="J4" s="769"/>
      <c r="K4" s="769"/>
      <c r="L4" s="770"/>
      <c r="M4" s="426"/>
      <c r="N4" s="426"/>
      <c r="O4" s="426"/>
      <c r="P4" s="206"/>
      <c r="Q4" s="204"/>
      <c r="R4" s="205"/>
      <c r="S4" s="709" t="e">
        <f>INDEX(PT_DIFFERENTIATION_NUM_CS,MATCH(C4,PT_DIFFERENTIATION_CS_ID,0))</f>
        <v>#N/A</v>
      </c>
      <c r="T4" s="178" t="s">
        <v>533</v>
      </c>
      <c r="U4" s="171"/>
      <c r="V4" s="1288"/>
      <c r="W4" s="1289"/>
      <c r="X4" s="1289"/>
      <c r="Y4" s="1289"/>
      <c r="Z4" s="1289"/>
      <c r="AA4" s="1289"/>
      <c r="AB4" s="1289"/>
      <c r="AC4" s="1289"/>
      <c r="AD4" s="1289"/>
      <c r="AE4" s="1289"/>
      <c r="AF4" s="1290"/>
      <c r="AG4" s="1288" t="e">
        <f>INDEX(PT_DIFFERENTIATION_CS,MATCH(C4,PT_DIFFERENTIATION_CS_ID,0))</f>
        <v>#N/A</v>
      </c>
      <c r="AH4" s="1289"/>
      <c r="AI4" s="1289"/>
      <c r="AJ4" s="1289"/>
      <c r="AK4" s="1289"/>
      <c r="AL4" s="1289"/>
      <c r="AM4" s="1289"/>
      <c r="AN4" s="1289"/>
      <c r="AO4" s="1289"/>
      <c r="AP4" s="1289"/>
      <c r="AQ4" s="1289"/>
      <c r="AR4" s="129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5"/>
      <c r="F5" s="1295"/>
      <c r="G5" s="1295"/>
      <c r="H5" s="1295"/>
      <c r="I5" s="1296" t="e">
        <f>S4&amp;".1"</f>
        <v>#N/A</v>
      </c>
      <c r="J5" s="769"/>
      <c r="K5" s="769"/>
      <c r="L5" s="770"/>
      <c r="P5" s="1298">
        <v>1</v>
      </c>
      <c r="Q5" s="122"/>
      <c r="R5" s="208"/>
      <c r="S5" s="709" t="e">
        <f>$I5</f>
        <v>#N/A</v>
      </c>
      <c r="T5" s="164" t="s">
        <v>484</v>
      </c>
      <c r="U5" s="171"/>
      <c r="V5" s="1362"/>
      <c r="W5" s="1363"/>
      <c r="X5" s="1363"/>
      <c r="Y5" s="1363"/>
      <c r="Z5" s="1363"/>
      <c r="AA5" s="1363"/>
      <c r="AB5" s="1363"/>
      <c r="AC5" s="1363"/>
      <c r="AD5" s="1363"/>
      <c r="AE5" s="1363"/>
      <c r="AF5" s="1364"/>
      <c r="AG5" s="1365"/>
      <c r="AH5" s="1366"/>
      <c r="AI5" s="1366"/>
      <c r="AJ5" s="1366"/>
      <c r="AK5" s="1366"/>
      <c r="AL5" s="1366"/>
      <c r="AM5" s="1366"/>
      <c r="AN5" s="1366"/>
      <c r="AO5" s="1366"/>
      <c r="AP5" s="1366"/>
      <c r="AQ5" s="1366"/>
      <c r="AR5" s="136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95"/>
      <c r="F6" s="1295"/>
      <c r="G6" s="1295"/>
      <c r="H6" s="1295"/>
      <c r="I6" s="1297"/>
      <c r="J6" s="1296" t="e">
        <f>I5&amp;".1"</f>
        <v>#N/A</v>
      </c>
      <c r="K6" s="769"/>
      <c r="L6" s="770" t="s">
        <v>410</v>
      </c>
      <c r="P6" s="1298"/>
      <c r="Q6" s="1298">
        <v>1</v>
      </c>
      <c r="R6" s="209"/>
      <c r="S6" s="709" t="e">
        <f>$J6</f>
        <v>#N/A</v>
      </c>
      <c r="T6" s="165" t="s">
        <v>411</v>
      </c>
      <c r="U6" s="171"/>
      <c r="V6" s="1282"/>
      <c r="W6" s="1283"/>
      <c r="X6" s="1283"/>
      <c r="Y6" s="1283"/>
      <c r="Z6" s="1283"/>
      <c r="AA6" s="1283"/>
      <c r="AB6" s="1283"/>
      <c r="AC6" s="1283"/>
      <c r="AD6" s="1283"/>
      <c r="AE6" s="1283"/>
      <c r="AF6" s="1284"/>
      <c r="AG6" s="1282"/>
      <c r="AH6" s="1283"/>
      <c r="AI6" s="1283"/>
      <c r="AJ6" s="1283"/>
      <c r="AK6" s="1283"/>
      <c r="AL6" s="1283"/>
      <c r="AM6" s="1283"/>
      <c r="AN6" s="1283"/>
      <c r="AO6" s="1283"/>
      <c r="AP6" s="1283"/>
      <c r="AQ6" s="1283"/>
      <c r="AR6" s="1284"/>
      <c r="AS6" s="753" t="s">
        <v>486</v>
      </c>
      <c r="AU6" s="69"/>
      <c r="AV6" s="69" t="str">
        <f t="shared" si="0"/>
        <v>Группа потребителей</v>
      </c>
      <c r="AW6" s="69"/>
      <c r="AX6" s="69"/>
      <c r="AY6" s="11">
        <v>0</v>
      </c>
    </row>
    <row r="7" spans="1:51" ht="23.25" hidden="1" customHeight="1">
      <c r="A7" s="769"/>
      <c r="B7" s="769"/>
      <c r="C7" s="769"/>
      <c r="D7" s="769"/>
      <c r="E7" s="1295"/>
      <c r="F7" s="1295"/>
      <c r="G7" s="1295"/>
      <c r="H7" s="1295"/>
      <c r="I7" s="1297"/>
      <c r="J7" s="1297"/>
      <c r="K7" s="1296" t="e">
        <f>J6&amp;".1"</f>
        <v>#N/A</v>
      </c>
      <c r="L7" s="770"/>
      <c r="P7" s="1298"/>
      <c r="Q7" s="1298"/>
      <c r="R7" s="209">
        <v>1</v>
      </c>
      <c r="S7" s="709" t="e">
        <f>$K7</f>
        <v>#N/A</v>
      </c>
      <c r="T7" s="812"/>
      <c r="U7" s="171"/>
      <c r="V7" s="306"/>
      <c r="W7" s="306"/>
      <c r="X7" s="306"/>
      <c r="Y7" s="306"/>
      <c r="Z7" s="306"/>
      <c r="AA7" s="306"/>
      <c r="AB7" s="728"/>
      <c r="AC7" s="1299"/>
      <c r="AD7" s="1168" t="s">
        <v>67</v>
      </c>
      <c r="AE7" s="1299"/>
      <c r="AF7" s="1168" t="s">
        <v>67</v>
      </c>
      <c r="AG7" s="306"/>
      <c r="AH7" s="306"/>
      <c r="AI7" s="306"/>
      <c r="AJ7" s="306"/>
      <c r="AK7" s="306"/>
      <c r="AL7" s="306"/>
      <c r="AM7" s="728"/>
      <c r="AN7" s="1299"/>
      <c r="AO7" s="1168" t="s">
        <v>67</v>
      </c>
      <c r="AP7" s="1301"/>
      <c r="AQ7" s="1168" t="s">
        <v>67</v>
      </c>
      <c r="AR7" s="813"/>
      <c r="AS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5"/>
      <c r="F8" s="1295"/>
      <c r="G8" s="1295"/>
      <c r="H8" s="1295"/>
      <c r="I8" s="1297"/>
      <c r="J8" s="1297"/>
      <c r="K8" s="1296"/>
      <c r="L8" s="770"/>
      <c r="P8" s="1298"/>
      <c r="Q8" s="1298"/>
      <c r="R8" s="209"/>
      <c r="S8" s="65"/>
      <c r="T8" s="171"/>
      <c r="U8" s="171"/>
      <c r="V8" s="191"/>
      <c r="W8" s="191"/>
      <c r="X8" s="191"/>
      <c r="Y8" s="191"/>
      <c r="Z8" s="191"/>
      <c r="AA8" s="191"/>
      <c r="AB8" s="192" t="str">
        <f>AC7&amp;"-"&amp;AE7</f>
        <v>-</v>
      </c>
      <c r="AC8" s="1300"/>
      <c r="AD8" s="1168"/>
      <c r="AE8" s="1300"/>
      <c r="AF8" s="1168"/>
      <c r="AG8" s="191"/>
      <c r="AH8" s="191"/>
      <c r="AI8" s="191"/>
      <c r="AJ8" s="191"/>
      <c r="AK8" s="191"/>
      <c r="AL8" s="191"/>
      <c r="AM8" s="192" t="str">
        <f>AN7&amp;"-"&amp;AP7</f>
        <v>-</v>
      </c>
      <c r="AN8" s="1300"/>
      <c r="AO8" s="1168"/>
      <c r="AP8" s="1302"/>
      <c r="AQ8" s="1168"/>
      <c r="AR8" s="388"/>
      <c r="AS8" s="1368"/>
      <c r="AU8" s="69"/>
      <c r="AV8" s="69" t="str">
        <f t="shared" si="0"/>
        <v/>
      </c>
      <c r="AW8" s="69"/>
      <c r="AX8" s="69"/>
      <c r="AY8" s="11">
        <v>0</v>
      </c>
    </row>
    <row r="9" spans="1:51" ht="21" hidden="1" customHeight="1">
      <c r="A9" s="769"/>
      <c r="B9" s="769"/>
      <c r="C9" s="769"/>
      <c r="D9" s="769"/>
      <c r="E9" s="1295"/>
      <c r="F9" s="1295"/>
      <c r="G9" s="1295"/>
      <c r="H9" s="1295"/>
      <c r="I9" s="1297"/>
      <c r="J9" s="1296"/>
      <c r="K9" s="769"/>
      <c r="L9" s="770"/>
      <c r="P9" s="1298"/>
      <c r="Q9" s="129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95"/>
      <c r="F10" s="1295"/>
      <c r="G10" s="1295"/>
      <c r="H10" s="1295"/>
      <c r="I10" s="1296"/>
      <c r="J10" s="769"/>
      <c r="K10" s="769"/>
      <c r="L10" s="770"/>
      <c r="P10" s="1298"/>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5"/>
      <c r="F11" s="1295"/>
      <c r="G11" s="1295"/>
      <c r="H11" s="129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5"/>
      <c r="F12" s="1294"/>
      <c r="G12" s="145"/>
      <c r="H12" s="145"/>
      <c r="I12" s="145"/>
      <c r="J12" s="145"/>
      <c r="K12" s="145"/>
      <c r="L12" s="346"/>
      <c r="M12" s="759"/>
      <c r="N12" s="759"/>
      <c r="P12" s="104"/>
      <c r="Q12" s="755"/>
      <c r="R12" s="104"/>
      <c r="S12" s="760"/>
      <c r="T12" s="762" t="s">
        <v>275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4"/>
      <c r="F13" s="145"/>
      <c r="G13" s="145"/>
      <c r="H13" s="145"/>
      <c r="I13" s="145"/>
      <c r="J13" s="145"/>
      <c r="K13" s="145"/>
      <c r="L13" s="346"/>
      <c r="M13" s="759"/>
      <c r="N13" s="759"/>
      <c r="P13" s="104"/>
      <c r="Q13" s="755"/>
      <c r="R13" s="104"/>
      <c r="S13" s="760"/>
      <c r="T13" s="762" t="s">
        <v>276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2"/>
      <c r="AO15" s="1291" t="s">
        <v>67</v>
      </c>
      <c r="AP15" s="1292"/>
      <c r="AQ15" s="1291" t="s">
        <v>67</v>
      </c>
      <c r="AY15" s="11">
        <v>0</v>
      </c>
    </row>
    <row r="16" spans="1:51" ht="14.25" hidden="1" customHeight="1">
      <c r="AG16" s="368"/>
      <c r="AH16" s="368"/>
      <c r="AI16" s="368"/>
      <c r="AJ16" s="368"/>
      <c r="AK16" s="368"/>
      <c r="AL16" s="368"/>
      <c r="AM16" s="192" t="str">
        <f>AN15&amp;"-"&amp;AP15</f>
        <v>-</v>
      </c>
      <c r="AN16" s="1291"/>
      <c r="AO16" s="1291"/>
      <c r="AP16" s="1291"/>
      <c r="AQ16" s="1291"/>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7" customHeight="1">
      <c r="Q23" s="28"/>
      <c r="R23" s="28"/>
      <c r="S23" s="739"/>
      <c r="T23" s="10"/>
      <c r="U23" s="10"/>
      <c r="AY23" s="11">
        <v>14</v>
      </c>
    </row>
    <row r="24" spans="1:51" ht="26.25" customHeight="1">
      <c r="Q24" s="28"/>
      <c r="R24" s="28"/>
      <c r="S24" s="127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5"/>
      <c r="U24" s="1275"/>
      <c r="V24" s="1275"/>
      <c r="W24" s="1275"/>
      <c r="X24" s="1275"/>
      <c r="Y24" s="1275"/>
      <c r="Z24" s="1275"/>
      <c r="AA24" s="1275"/>
      <c r="AB24" s="1275"/>
      <c r="AC24" s="1275"/>
      <c r="AD24" s="1275"/>
      <c r="AE24" s="1275"/>
      <c r="AF24" s="1275"/>
      <c r="AG24" s="1275"/>
      <c r="AH24" s="1275"/>
      <c r="AI24" s="1275"/>
      <c r="AJ24" s="1275"/>
      <c r="AK24" s="1275"/>
      <c r="AL24" s="1275"/>
      <c r="AM24" s="1275"/>
      <c r="AN24" s="1275"/>
      <c r="AO24" s="1275"/>
      <c r="AP24" s="1275"/>
      <c r="AQ24" s="59"/>
      <c r="AY24" s="11">
        <v>25</v>
      </c>
    </row>
    <row r="25" spans="1:51" ht="14.7" customHeight="1">
      <c r="Q25" s="28"/>
      <c r="R25" s="28"/>
      <c r="S25" s="1247" t="str">
        <f>IF(org=0,"Не определено",org)</f>
        <v>АО "Юграавиа"</v>
      </c>
      <c r="T25" s="1247"/>
      <c r="U25" s="1247"/>
      <c r="V25" s="1247"/>
      <c r="W25" s="1247"/>
      <c r="X25" s="1247"/>
      <c r="Y25" s="1247"/>
      <c r="Z25" s="1247"/>
      <c r="AA25" s="1247"/>
      <c r="AB25" s="1247"/>
      <c r="AC25" s="1247"/>
      <c r="AD25" s="1247"/>
      <c r="AE25" s="1247"/>
      <c r="AF25" s="1247"/>
      <c r="AG25" s="1247"/>
      <c r="AH25" s="1247"/>
      <c r="AI25" s="1247"/>
      <c r="AJ25" s="1247"/>
      <c r="AK25" s="1247"/>
      <c r="AL25" s="1247"/>
      <c r="AM25" s="1247"/>
      <c r="AN25" s="1247"/>
      <c r="AO25" s="1247"/>
      <c r="AP25" s="1247"/>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85" t="s">
        <v>42</v>
      </c>
      <c r="T27" s="1285"/>
      <c r="U27" s="773"/>
      <c r="V27" s="1287" t="str">
        <f>IF(TITLE_NAME_OR_PR_CHANGE="",IF(TITLE_NAME_OR_PR="","",TITLE_NAME_OR_PR),TITLE_NAME_OR_PR_CHANGE)</f>
        <v>Региональная служба по тарифам Ханты-Мансийского автономного округа – Югры (РСТ Югры)</v>
      </c>
      <c r="W27" s="1287"/>
      <c r="X27" s="1287"/>
      <c r="Y27" s="1287"/>
      <c r="Z27" s="1287"/>
      <c r="AA27" s="1287"/>
      <c r="AB27" s="1287"/>
      <c r="AC27" s="1287"/>
      <c r="AD27" s="1287"/>
      <c r="AE27" s="1287"/>
      <c r="AF27" s="11"/>
      <c r="AG27" s="1287" t="str">
        <f>IF(TITLE_NAME_OR_PR_CHANGE="",IF(TITLE_NAME_OR_PR="","",TITLE_NAME_OR_PR),TITLE_NAME_OR_PR_CHANGE)</f>
        <v>Региональная служба по тарифам Ханты-Мансийского автономного округа – Югры (РСТ Югры)</v>
      </c>
      <c r="AH27" s="1287"/>
      <c r="AI27" s="1287"/>
      <c r="AJ27" s="1287"/>
      <c r="AK27" s="1287"/>
      <c r="AL27" s="1287"/>
      <c r="AM27" s="1287"/>
      <c r="AN27" s="1287"/>
      <c r="AO27" s="1287"/>
      <c r="AP27" s="1287"/>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85" t="s">
        <v>425</v>
      </c>
      <c r="T28" s="1285"/>
      <c r="U28" s="773"/>
      <c r="V28" s="1286">
        <f>IF(TITLE_DATE_PR_CHANGE="",IF(TITLE_DATE_PR="","",TITLE_DATE_PR),TITLE_DATE_PR_CHANGE)</f>
        <v>45999</v>
      </c>
      <c r="W28" s="1286"/>
      <c r="X28" s="1286"/>
      <c r="Y28" s="1286"/>
      <c r="Z28" s="1286"/>
      <c r="AA28" s="1286"/>
      <c r="AB28" s="1286"/>
      <c r="AC28" s="1286"/>
      <c r="AD28" s="1286"/>
      <c r="AE28" s="1286"/>
      <c r="AF28" s="11"/>
      <c r="AG28" s="1286">
        <f>IF(TITLE_DATE_PR_CHANGE="",IF(TITLE_DATE_PR="","",TITLE_DATE_PR),TITLE_DATE_PR_CHANGE)</f>
        <v>45999</v>
      </c>
      <c r="AH28" s="1286"/>
      <c r="AI28" s="1286"/>
      <c r="AJ28" s="1286"/>
      <c r="AK28" s="1286"/>
      <c r="AL28" s="1286"/>
      <c r="AM28" s="1286"/>
      <c r="AN28" s="1286"/>
      <c r="AO28" s="1286"/>
      <c r="AP28" s="1286"/>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85" t="s">
        <v>426</v>
      </c>
      <c r="T29" s="1285"/>
      <c r="U29" s="773"/>
      <c r="V29" s="1287" t="str">
        <f>IF(TITLE_NUMBER_PR_CHANGE="",IF(TITLE_NUMBER_PR="","",TITLE_NUMBER_PR),TITLE_NUMBER_PR_CHANGE)</f>
        <v>94-нп</v>
      </c>
      <c r="W29" s="1287"/>
      <c r="X29" s="1287"/>
      <c r="Y29" s="1287"/>
      <c r="Z29" s="1287"/>
      <c r="AA29" s="1287"/>
      <c r="AB29" s="1287"/>
      <c r="AC29" s="1287"/>
      <c r="AD29" s="1287"/>
      <c r="AE29" s="1287"/>
      <c r="AF29" s="11"/>
      <c r="AG29" s="1287" t="str">
        <f>IF(TITLE_NUMBER_PR_CHANGE="",IF(TITLE_NUMBER_PR="","",TITLE_NUMBER_PR),TITLE_NUMBER_PR_CHANGE)</f>
        <v>94-нп</v>
      </c>
      <c r="AH29" s="1287"/>
      <c r="AI29" s="1287"/>
      <c r="AJ29" s="1287"/>
      <c r="AK29" s="1287"/>
      <c r="AL29" s="1287"/>
      <c r="AM29" s="1287"/>
      <c r="AN29" s="1287"/>
      <c r="AO29" s="1287"/>
      <c r="AP29" s="1287"/>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85" t="s">
        <v>44</v>
      </c>
      <c r="T30" s="1285"/>
      <c r="U30" s="773"/>
      <c r="V30" s="1287" t="str">
        <f>IF(TITLE_IST_PUB_CHANGE="",IF(TITLE_IST_PUB="","",TITLE_IST_PUB),TITLE_IST_PUB_CHANGE)</f>
        <v>«Официальный интернет-портал правовой информации» (www.pravo.gov.ru)</v>
      </c>
      <c r="W30" s="1287"/>
      <c r="X30" s="1287"/>
      <c r="Y30" s="1287"/>
      <c r="Z30" s="1287"/>
      <c r="AA30" s="1287"/>
      <c r="AB30" s="1287"/>
      <c r="AC30" s="1287"/>
      <c r="AD30" s="1287"/>
      <c r="AE30" s="1287"/>
      <c r="AF30" s="11"/>
      <c r="AG30" s="1287" t="str">
        <f>IF(TITLE_IST_PUB_CHANGE="",IF(TITLE_IST_PUB="","",TITLE_IST_PUB),TITLE_IST_PUB_CHANGE)</f>
        <v>«Официальный интернет-портал правовой информации» (www.pravo.gov.ru)</v>
      </c>
      <c r="AH30" s="1287"/>
      <c r="AI30" s="1287"/>
      <c r="AJ30" s="1287"/>
      <c r="AK30" s="1287"/>
      <c r="AL30" s="1287"/>
      <c r="AM30" s="1287"/>
      <c r="AN30" s="1287"/>
      <c r="AO30" s="1287"/>
      <c r="AP30" s="128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85" t="s">
        <v>427</v>
      </c>
      <c r="T32" s="1285"/>
      <c r="U32" s="773"/>
      <c r="V32" s="1286">
        <f>IF(TITLE_DATE_PR_CHANGE="",IF(TITLE_DATE_PR="","",TITLE_DATE_PR),TITLE_DATE_PR_CHANGE)</f>
        <v>45999</v>
      </c>
      <c r="W32" s="1286"/>
      <c r="X32" s="1286"/>
      <c r="Y32" s="1286"/>
      <c r="Z32" s="1286"/>
      <c r="AA32" s="1286"/>
      <c r="AB32" s="1286"/>
      <c r="AC32" s="1286"/>
      <c r="AD32" s="1286"/>
      <c r="AE32" s="1286"/>
      <c r="AF32" s="11"/>
      <c r="AG32" s="1286">
        <f>IF(TITLE_DATE_PR_CHANGE="",IF(TITLE_DATE_PR="","",TITLE_DATE_PR),TITLE_DATE_PR_CHANGE)</f>
        <v>45999</v>
      </c>
      <c r="AH32" s="1286"/>
      <c r="AI32" s="1286"/>
      <c r="AJ32" s="1286"/>
      <c r="AK32" s="1286"/>
      <c r="AL32" s="1286"/>
      <c r="AM32" s="1286"/>
      <c r="AN32" s="1286"/>
      <c r="AO32" s="1286"/>
      <c r="AP32" s="128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85" t="s">
        <v>428</v>
      </c>
      <c r="T33" s="1285"/>
      <c r="U33" s="773"/>
      <c r="V33" s="1287" t="str">
        <f>IF(TITLE_NUMBER_PR_CHANGE="",IF(TITLE_NUMBER_PR="","",TITLE_NUMBER_PR),TITLE_NUMBER_PR_CHANGE)</f>
        <v>94-нп</v>
      </c>
      <c r="W33" s="1287"/>
      <c r="X33" s="1287"/>
      <c r="Y33" s="1287"/>
      <c r="Z33" s="1287"/>
      <c r="AA33" s="1287"/>
      <c r="AB33" s="1287"/>
      <c r="AC33" s="1287"/>
      <c r="AD33" s="1287"/>
      <c r="AE33" s="1287"/>
      <c r="AF33" s="11"/>
      <c r="AG33" s="1287" t="str">
        <f>IF(TITLE_NUMBER_PR_CHANGE="",IF(TITLE_NUMBER_PR="","",TITLE_NUMBER_PR),TITLE_NUMBER_PR_CHANGE)</f>
        <v>94-нп</v>
      </c>
      <c r="AH33" s="1287"/>
      <c r="AI33" s="1287"/>
      <c r="AJ33" s="1287"/>
      <c r="AK33" s="1287"/>
      <c r="AL33" s="1287"/>
      <c r="AM33" s="1287"/>
      <c r="AN33" s="1287"/>
      <c r="AO33" s="1287"/>
      <c r="AP33" s="1287"/>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7" customHeight="1">
      <c r="Q35" s="28"/>
      <c r="R35" s="28"/>
      <c r="S35" s="739"/>
      <c r="T35" s="10"/>
      <c r="U35" s="720"/>
      <c r="V35" s="1306"/>
      <c r="W35" s="1306"/>
      <c r="X35" s="1306"/>
      <c r="Y35" s="1306"/>
      <c r="Z35" s="1306"/>
      <c r="AA35" s="1306"/>
      <c r="AB35" s="1306"/>
      <c r="AC35" s="1306"/>
      <c r="AD35" s="1306"/>
      <c r="AE35" s="1306"/>
      <c r="AF35" s="1306"/>
      <c r="AG35" s="1306"/>
      <c r="AH35" s="1306"/>
      <c r="AI35" s="1306"/>
      <c r="AJ35" s="1306"/>
      <c r="AK35" s="1306"/>
      <c r="AL35" s="1306"/>
      <c r="AM35" s="1306"/>
      <c r="AN35" s="1306"/>
      <c r="AO35" s="1306"/>
      <c r="AP35" s="1306"/>
      <c r="AQ35" s="1306"/>
      <c r="AY35" s="11">
        <v>14</v>
      </c>
    </row>
    <row r="36" spans="1:51" ht="14.7" customHeight="1">
      <c r="Q36" s="28"/>
      <c r="R36" s="28"/>
      <c r="S36" s="1158" t="s">
        <v>304</v>
      </c>
      <c r="T36" s="1158"/>
      <c r="U36" s="1158"/>
      <c r="V36" s="1158"/>
      <c r="W36" s="1158"/>
      <c r="X36" s="1158"/>
      <c r="Y36" s="1158"/>
      <c r="Z36" s="1158"/>
      <c r="AA36" s="1158"/>
      <c r="AB36" s="1158"/>
      <c r="AC36" s="1158"/>
      <c r="AD36" s="1158"/>
      <c r="AE36" s="1158"/>
      <c r="AF36" s="1158"/>
      <c r="AG36" s="1158"/>
      <c r="AH36" s="1158"/>
      <c r="AI36" s="1158"/>
      <c r="AJ36" s="1158"/>
      <c r="AK36" s="1158"/>
      <c r="AL36" s="1158"/>
      <c r="AM36" s="1158"/>
      <c r="AN36" s="1158"/>
      <c r="AO36" s="1158"/>
      <c r="AP36" s="1158"/>
      <c r="AQ36" s="1158"/>
      <c r="AR36" s="1158"/>
      <c r="AS36" s="1158" t="s">
        <v>305</v>
      </c>
      <c r="AY36" s="11">
        <v>14</v>
      </c>
    </row>
    <row r="37" spans="1:51" ht="14.7" customHeight="1">
      <c r="Q37" s="28"/>
      <c r="R37" s="28"/>
      <c r="S37" s="1307" t="s">
        <v>89</v>
      </c>
      <c r="T37" s="1255" t="s">
        <v>430</v>
      </c>
      <c r="U37" s="172"/>
      <c r="V37" s="1308" t="s">
        <v>431</v>
      </c>
      <c r="W37" s="1309"/>
      <c r="X37" s="1309"/>
      <c r="Y37" s="1309"/>
      <c r="Z37" s="1309"/>
      <c r="AA37" s="1309"/>
      <c r="AB37" s="1309"/>
      <c r="AC37" s="1309"/>
      <c r="AD37" s="1309"/>
      <c r="AE37" s="1310"/>
      <c r="AF37" s="1311" t="s">
        <v>432</v>
      </c>
      <c r="AG37" s="1308" t="s">
        <v>431</v>
      </c>
      <c r="AH37" s="1309"/>
      <c r="AI37" s="1309"/>
      <c r="AJ37" s="1309"/>
      <c r="AK37" s="1309"/>
      <c r="AL37" s="1309"/>
      <c r="AM37" s="1309"/>
      <c r="AN37" s="1309"/>
      <c r="AO37" s="1309"/>
      <c r="AP37" s="1310"/>
      <c r="AQ37" s="1311" t="s">
        <v>433</v>
      </c>
      <c r="AR37" s="1314" t="s">
        <v>434</v>
      </c>
      <c r="AS37" s="1158"/>
      <c r="AY37" s="11">
        <v>14</v>
      </c>
    </row>
    <row r="38" spans="1:51" s="11" customFormat="1" ht="19.95" customHeight="1">
      <c r="A38" s="63"/>
      <c r="B38" s="63"/>
      <c r="C38" s="63"/>
      <c r="D38" s="63"/>
      <c r="E38" s="63"/>
      <c r="F38" s="63"/>
      <c r="G38" s="63"/>
      <c r="H38" s="63"/>
      <c r="I38" s="63"/>
      <c r="J38" s="63"/>
      <c r="K38" s="63"/>
      <c r="L38" s="301"/>
      <c r="M38" s="506"/>
      <c r="N38" s="506"/>
      <c r="O38" s="506"/>
      <c r="P38" s="33"/>
      <c r="Q38" s="28"/>
      <c r="R38" s="28"/>
      <c r="S38" s="1307"/>
      <c r="T38" s="1255"/>
      <c r="U38" s="607"/>
      <c r="V38" s="1158" t="s">
        <v>535</v>
      </c>
      <c r="W38" s="1401" t="s">
        <v>536</v>
      </c>
      <c r="X38" s="1401"/>
      <c r="Y38" s="1401"/>
      <c r="Z38" s="1401" t="s">
        <v>537</v>
      </c>
      <c r="AA38" s="1401"/>
      <c r="AB38" s="1401"/>
      <c r="AC38" s="1228" t="s">
        <v>438</v>
      </c>
      <c r="AD38" s="1336"/>
      <c r="AE38" s="1229"/>
      <c r="AF38" s="1312"/>
      <c r="AG38" s="1158" t="s">
        <v>535</v>
      </c>
      <c r="AH38" s="1401" t="s">
        <v>536</v>
      </c>
      <c r="AI38" s="1401"/>
      <c r="AJ38" s="1401"/>
      <c r="AK38" s="1401" t="s">
        <v>537</v>
      </c>
      <c r="AL38" s="1401"/>
      <c r="AM38" s="1401"/>
      <c r="AN38" s="1228" t="s">
        <v>438</v>
      </c>
      <c r="AO38" s="1336"/>
      <c r="AP38" s="1229"/>
      <c r="AQ38" s="1312"/>
      <c r="AR38" s="1315"/>
      <c r="AS38" s="1158"/>
      <c r="AT38" s="68"/>
      <c r="AU38" s="68"/>
      <c r="AV38" s="68"/>
      <c r="AW38" s="68"/>
      <c r="AX38" s="68"/>
      <c r="AY38" s="11">
        <v>19</v>
      </c>
    </row>
    <row r="39" spans="1:51" ht="19.95" customHeight="1">
      <c r="Q39" s="28"/>
      <c r="R39" s="28"/>
      <c r="S39" s="1307"/>
      <c r="T39" s="1255"/>
      <c r="U39" s="607"/>
      <c r="V39" s="1158"/>
      <c r="W39" s="1401" t="s">
        <v>538</v>
      </c>
      <c r="X39" s="1401" t="s">
        <v>539</v>
      </c>
      <c r="Y39" s="1401"/>
      <c r="Z39" s="1401" t="s">
        <v>540</v>
      </c>
      <c r="AA39" s="1401" t="s">
        <v>539</v>
      </c>
      <c r="AB39" s="1401"/>
      <c r="AC39" s="1233"/>
      <c r="AD39" s="1337"/>
      <c r="AE39" s="1234"/>
      <c r="AF39" s="1312"/>
      <c r="AG39" s="1158"/>
      <c r="AH39" s="1401" t="s">
        <v>538</v>
      </c>
      <c r="AI39" s="1401" t="s">
        <v>539</v>
      </c>
      <c r="AJ39" s="1401"/>
      <c r="AK39" s="1401" t="s">
        <v>540</v>
      </c>
      <c r="AL39" s="1401" t="s">
        <v>539</v>
      </c>
      <c r="AM39" s="1401"/>
      <c r="AN39" s="1233"/>
      <c r="AO39" s="1337"/>
      <c r="AP39" s="1234"/>
      <c r="AQ39" s="1312"/>
      <c r="AR39" s="1315"/>
      <c r="AS39" s="1158"/>
      <c r="AY39" s="11">
        <v>19</v>
      </c>
    </row>
    <row r="40" spans="1:51" ht="61.95"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07"/>
      <c r="T40" s="1255"/>
      <c r="U40" s="173"/>
      <c r="V40" s="1158"/>
      <c r="W40" s="1401"/>
      <c r="X40" s="1053" t="s">
        <v>541</v>
      </c>
      <c r="Y40" s="1053" t="s">
        <v>542</v>
      </c>
      <c r="Z40" s="1401"/>
      <c r="AA40" s="1053" t="s">
        <v>543</v>
      </c>
      <c r="AB40" s="1053" t="s">
        <v>544</v>
      </c>
      <c r="AC40" s="39" t="s">
        <v>448</v>
      </c>
      <c r="AD40" s="1260" t="s">
        <v>449</v>
      </c>
      <c r="AE40" s="1274"/>
      <c r="AF40" s="1313"/>
      <c r="AG40" s="1158"/>
      <c r="AH40" s="1401"/>
      <c r="AI40" s="1053" t="s">
        <v>541</v>
      </c>
      <c r="AJ40" s="1053" t="s">
        <v>542</v>
      </c>
      <c r="AK40" s="1401"/>
      <c r="AL40" s="1053" t="s">
        <v>543</v>
      </c>
      <c r="AM40" s="1053" t="s">
        <v>544</v>
      </c>
      <c r="AN40" s="39" t="s">
        <v>448</v>
      </c>
      <c r="AO40" s="1260" t="s">
        <v>449</v>
      </c>
      <c r="AP40" s="1274"/>
      <c r="AQ40" s="1313"/>
      <c r="AR40" s="1316"/>
      <c r="AS40" s="115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305">
        <f ca="1">OFFSET(AD41,0,-1)+1</f>
        <v>3</v>
      </c>
      <c r="AE41" s="1305"/>
      <c r="AF41" s="727">
        <f ca="1">OFFSET(AF41,0,-2)+1</f>
        <v>4</v>
      </c>
      <c r="AG41" s="727">
        <f ca="1">OFFSET(AG41,0,-1)+1</f>
        <v>5</v>
      </c>
      <c r="AH41" s="727"/>
      <c r="AI41" s="727"/>
      <c r="AJ41" s="727"/>
      <c r="AK41" s="727"/>
      <c r="AL41" s="727"/>
      <c r="AM41" s="727">
        <f ca="1">OFFSET(AM41,0,-1)+1</f>
        <v>1</v>
      </c>
      <c r="AN41" s="727">
        <f ca="1">OFFSET(AN41,0,-1)+1</f>
        <v>2</v>
      </c>
      <c r="AO41" s="1305">
        <f ca="1">OFFSET(AO41,0,-1)+1</f>
        <v>3</v>
      </c>
      <c r="AP41" s="1305"/>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94">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88"/>
      <c r="W42" s="1289"/>
      <c r="X42" s="1289"/>
      <c r="Y42" s="1289"/>
      <c r="Z42" s="1289"/>
      <c r="AA42" s="1289"/>
      <c r="AB42" s="1289"/>
      <c r="AC42" s="1289"/>
      <c r="AD42" s="1289"/>
      <c r="AE42" s="1289"/>
      <c r="AF42" s="1290"/>
      <c r="AG42" s="1288" t="str">
        <f>INDEX(PT_DIFFERENTIATION_NTAR,MATCH(A42,PT_DIFFERENTIATION_NTAR_ID,0))</f>
        <v/>
      </c>
      <c r="AH42" s="1289"/>
      <c r="AI42" s="1289"/>
      <c r="AJ42" s="1289"/>
      <c r="AK42" s="1289"/>
      <c r="AL42" s="1289"/>
      <c r="AM42" s="1289"/>
      <c r="AN42" s="1289"/>
      <c r="AO42" s="1289"/>
      <c r="AP42" s="1289"/>
      <c r="AQ42" s="1289"/>
      <c r="AR42" s="129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95"/>
      <c r="F43" s="1294">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88"/>
      <c r="W43" s="1289"/>
      <c r="X43" s="1289"/>
      <c r="Y43" s="1289"/>
      <c r="Z43" s="1289"/>
      <c r="AA43" s="1289"/>
      <c r="AB43" s="1289"/>
      <c r="AC43" s="1289"/>
      <c r="AD43" s="1289"/>
      <c r="AE43" s="1289"/>
      <c r="AF43" s="1290"/>
      <c r="AG43" s="1288" t="str">
        <f>INDEX(PT_DIFFERENTIATION_TER,MATCH(B43,PT_DIFFERENTIATION_TER_ID,0))</f>
        <v/>
      </c>
      <c r="AH43" s="1289"/>
      <c r="AI43" s="1289"/>
      <c r="AJ43" s="1289"/>
      <c r="AK43" s="1289"/>
      <c r="AL43" s="1289"/>
      <c r="AM43" s="1289"/>
      <c r="AN43" s="1289"/>
      <c r="AO43" s="1289"/>
      <c r="AP43" s="1289"/>
      <c r="AQ43" s="1289"/>
      <c r="AR43" s="1290"/>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95"/>
      <c r="F44" s="1295"/>
      <c r="G44" s="1294">
        <v>1</v>
      </c>
      <c r="H44" s="769"/>
      <c r="I44" s="769"/>
      <c r="J44" s="769"/>
      <c r="K44" s="769"/>
      <c r="L44" s="770"/>
      <c r="M44" s="426"/>
      <c r="N44" s="426"/>
      <c r="O44" s="426"/>
      <c r="P44" s="206"/>
      <c r="Q44" s="204"/>
      <c r="R44" s="205"/>
      <c r="S44" s="709" t="str">
        <f>INDEX(PT_DIFFERENTIATION_NUM_CS,MATCH(C44,PT_DIFFERENTIATION_CS_ID,0))</f>
        <v>..</v>
      </c>
      <c r="T44" s="178" t="s">
        <v>533</v>
      </c>
      <c r="U44" s="171"/>
      <c r="V44" s="1288"/>
      <c r="W44" s="1289"/>
      <c r="X44" s="1289"/>
      <c r="Y44" s="1289"/>
      <c r="Z44" s="1289"/>
      <c r="AA44" s="1289"/>
      <c r="AB44" s="1289"/>
      <c r="AC44" s="1289"/>
      <c r="AD44" s="1289"/>
      <c r="AE44" s="1289"/>
      <c r="AF44" s="1290"/>
      <c r="AG44" s="1288" t="str">
        <f>INDEX(PT_DIFFERENTIATION_CS,MATCH(C44,PT_DIFFERENTIATION_CS_ID,0))</f>
        <v/>
      </c>
      <c r="AH44" s="1289"/>
      <c r="AI44" s="1289"/>
      <c r="AJ44" s="1289"/>
      <c r="AK44" s="1289"/>
      <c r="AL44" s="1289"/>
      <c r="AM44" s="1289"/>
      <c r="AN44" s="1289"/>
      <c r="AO44" s="1289"/>
      <c r="AP44" s="1289"/>
      <c r="AQ44" s="1289"/>
      <c r="AR44" s="129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295"/>
      <c r="F45" s="1295"/>
      <c r="G45" s="1295"/>
      <c r="H45" s="1295"/>
      <c r="I45" s="1296" t="str">
        <f>S44&amp;".1"</f>
        <v>...1</v>
      </c>
      <c r="J45" s="769"/>
      <c r="K45" s="769"/>
      <c r="L45" s="770"/>
      <c r="P45" s="1298">
        <v>1</v>
      </c>
      <c r="Q45" s="122"/>
      <c r="R45" s="208"/>
      <c r="S45" s="709" t="str">
        <f>$I45</f>
        <v>...1</v>
      </c>
      <c r="T45" s="164" t="s">
        <v>484</v>
      </c>
      <c r="U45" s="171"/>
      <c r="V45" s="1362"/>
      <c r="W45" s="1363"/>
      <c r="X45" s="1363"/>
      <c r="Y45" s="1363"/>
      <c r="Z45" s="1363"/>
      <c r="AA45" s="1363"/>
      <c r="AB45" s="1363"/>
      <c r="AC45" s="1363"/>
      <c r="AD45" s="1363"/>
      <c r="AE45" s="1363"/>
      <c r="AF45" s="1364"/>
      <c r="AG45" s="1365"/>
      <c r="AH45" s="1366"/>
      <c r="AI45" s="1366"/>
      <c r="AJ45" s="1366"/>
      <c r="AK45" s="1366"/>
      <c r="AL45" s="1366"/>
      <c r="AM45" s="1366"/>
      <c r="AN45" s="1366"/>
      <c r="AO45" s="1366"/>
      <c r="AP45" s="1366"/>
      <c r="AQ45" s="1366"/>
      <c r="AR45" s="1367"/>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295"/>
      <c r="F46" s="1295"/>
      <c r="G46" s="1295"/>
      <c r="H46" s="1295"/>
      <c r="I46" s="1297"/>
      <c r="J46" s="1296" t="str">
        <f>I45&amp;".1"</f>
        <v>...1.1</v>
      </c>
      <c r="K46" s="769"/>
      <c r="L46" s="770" t="s">
        <v>410</v>
      </c>
      <c r="P46" s="1298"/>
      <c r="Q46" s="1298">
        <v>1</v>
      </c>
      <c r="R46" s="209"/>
      <c r="S46" s="709" t="str">
        <f>$J46</f>
        <v>...1.1</v>
      </c>
      <c r="T46" s="165" t="s">
        <v>411</v>
      </c>
      <c r="U46" s="171"/>
      <c r="V46" s="1282"/>
      <c r="W46" s="1283"/>
      <c r="X46" s="1283"/>
      <c r="Y46" s="1283"/>
      <c r="Z46" s="1283"/>
      <c r="AA46" s="1283"/>
      <c r="AB46" s="1283"/>
      <c r="AC46" s="1283"/>
      <c r="AD46" s="1283"/>
      <c r="AE46" s="1283"/>
      <c r="AF46" s="1284"/>
      <c r="AG46" s="1282"/>
      <c r="AH46" s="1283"/>
      <c r="AI46" s="1283"/>
      <c r="AJ46" s="1283"/>
      <c r="AK46" s="1283"/>
      <c r="AL46" s="1283"/>
      <c r="AM46" s="1283"/>
      <c r="AN46" s="1283"/>
      <c r="AO46" s="1283"/>
      <c r="AP46" s="1283"/>
      <c r="AQ46" s="1283"/>
      <c r="AR46" s="1284"/>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546</v>
      </c>
      <c r="E47" s="1295"/>
      <c r="F47" s="1295"/>
      <c r="G47" s="1295"/>
      <c r="H47" s="1295"/>
      <c r="I47" s="1297"/>
      <c r="J47" s="1297"/>
      <c r="K47" s="1296" t="str">
        <f>J46&amp;".1"</f>
        <v>...1.1.1</v>
      </c>
      <c r="L47" s="770"/>
      <c r="P47" s="1298"/>
      <c r="Q47" s="1298"/>
      <c r="R47" s="209">
        <v>1</v>
      </c>
      <c r="S47" s="709" t="str">
        <f>$K47</f>
        <v>...1.1.1</v>
      </c>
      <c r="T47" s="812"/>
      <c r="U47" s="171"/>
      <c r="V47" s="368"/>
      <c r="W47" s="368"/>
      <c r="X47" s="368"/>
      <c r="Y47" s="368"/>
      <c r="Z47" s="368"/>
      <c r="AA47" s="368"/>
      <c r="AB47" s="768"/>
      <c r="AC47" s="1292"/>
      <c r="AD47" s="1291" t="s">
        <v>67</v>
      </c>
      <c r="AE47" s="1292"/>
      <c r="AF47" s="1291" t="s">
        <v>67</v>
      </c>
      <c r="AG47" s="306"/>
      <c r="AH47" s="306"/>
      <c r="AI47" s="306"/>
      <c r="AJ47" s="306"/>
      <c r="AK47" s="306"/>
      <c r="AL47" s="306"/>
      <c r="AM47" s="728"/>
      <c r="AN47" s="1299"/>
      <c r="AO47" s="1168" t="s">
        <v>67</v>
      </c>
      <c r="AP47" s="1301"/>
      <c r="AQ47" s="1168" t="s">
        <v>19</v>
      </c>
      <c r="AR47" s="813"/>
      <c r="AS47" s="1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295"/>
      <c r="F48" s="1295"/>
      <c r="G48" s="1295"/>
      <c r="H48" s="1295"/>
      <c r="I48" s="1297"/>
      <c r="J48" s="1297"/>
      <c r="K48" s="1296"/>
      <c r="L48" s="770"/>
      <c r="P48" s="1298"/>
      <c r="Q48" s="1298"/>
      <c r="R48" s="209"/>
      <c r="S48" s="65"/>
      <c r="T48" s="171"/>
      <c r="U48" s="171"/>
      <c r="V48" s="368"/>
      <c r="W48" s="368"/>
      <c r="X48" s="368"/>
      <c r="Y48" s="368"/>
      <c r="Z48" s="368"/>
      <c r="AA48" s="368"/>
      <c r="AB48" s="192" t="str">
        <f>AC47&amp;"-"&amp;AE47</f>
        <v>-</v>
      </c>
      <c r="AC48" s="1291"/>
      <c r="AD48" s="1291"/>
      <c r="AE48" s="1291"/>
      <c r="AF48" s="1291"/>
      <c r="AG48" s="191"/>
      <c r="AH48" s="191"/>
      <c r="AI48" s="191"/>
      <c r="AJ48" s="191"/>
      <c r="AK48" s="191"/>
      <c r="AL48" s="191"/>
      <c r="AM48" s="192" t="str">
        <f>AN47&amp;"-"&amp;AP47</f>
        <v>-</v>
      </c>
      <c r="AN48" s="1300"/>
      <c r="AO48" s="1168"/>
      <c r="AP48" s="1302"/>
      <c r="AQ48" s="1168"/>
      <c r="AR48" s="388"/>
      <c r="AS48" s="1368"/>
      <c r="AU48" s="69"/>
      <c r="AV48" s="69" t="str">
        <f t="shared" si="1"/>
        <v/>
      </c>
      <c r="AW48" s="69"/>
      <c r="AX48" s="69"/>
      <c r="AY48" s="11">
        <v>0</v>
      </c>
    </row>
    <row r="49" spans="1:51" ht="21" customHeight="1">
      <c r="A49" s="769" t="s">
        <v>255</v>
      </c>
      <c r="B49" s="769" t="s">
        <v>256</v>
      </c>
      <c r="C49" s="769" t="s">
        <v>257</v>
      </c>
      <c r="D49" s="769" t="s">
        <v>546</v>
      </c>
      <c r="E49" s="1295"/>
      <c r="F49" s="1295"/>
      <c r="G49" s="1295"/>
      <c r="H49" s="1295"/>
      <c r="I49" s="1297"/>
      <c r="J49" s="1296"/>
      <c r="K49" s="769"/>
      <c r="L49" s="770"/>
      <c r="P49" s="1298"/>
      <c r="Q49" s="129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2.05" customHeight="1">
      <c r="A50" s="769" t="s">
        <v>255</v>
      </c>
      <c r="B50" s="769" t="s">
        <v>256</v>
      </c>
      <c r="C50" s="769" t="s">
        <v>257</v>
      </c>
      <c r="D50" s="769" t="s">
        <v>546</v>
      </c>
      <c r="E50" s="1295"/>
      <c r="F50" s="1295"/>
      <c r="G50" s="1295"/>
      <c r="H50" s="1295"/>
      <c r="I50" s="1296"/>
      <c r="J50" s="769"/>
      <c r="K50" s="769"/>
      <c r="L50" s="770"/>
      <c r="P50" s="1298"/>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255</v>
      </c>
      <c r="B51" s="769" t="s">
        <v>256</v>
      </c>
      <c r="C51" s="769" t="s">
        <v>257</v>
      </c>
      <c r="D51" s="769" t="s">
        <v>546</v>
      </c>
      <c r="E51" s="1295"/>
      <c r="F51" s="1295"/>
      <c r="G51" s="1295"/>
      <c r="H51" s="129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95"/>
      <c r="F52" s="1294"/>
      <c r="G52" s="145"/>
      <c r="H52" s="145"/>
      <c r="I52" s="145"/>
      <c r="J52" s="145"/>
      <c r="K52" s="145"/>
      <c r="L52" s="346"/>
      <c r="M52" s="759"/>
      <c r="N52" s="759"/>
      <c r="P52" s="104"/>
      <c r="Q52" s="755"/>
      <c r="R52" s="104"/>
      <c r="S52" s="760"/>
      <c r="T52" s="762" t="s">
        <v>275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94"/>
      <c r="F53" s="145"/>
      <c r="G53" s="145"/>
      <c r="H53" s="145"/>
      <c r="I53" s="145"/>
      <c r="J53" s="145"/>
      <c r="K53" s="145"/>
      <c r="L53" s="346"/>
      <c r="M53" s="759"/>
      <c r="N53" s="759"/>
      <c r="P53" s="104"/>
      <c r="Q53" s="755"/>
      <c r="R53" s="104"/>
      <c r="S53" s="760"/>
      <c r="T53" s="762" t="s">
        <v>276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7" customHeight="1">
      <c r="O56" s="63"/>
      <c r="S56" s="198"/>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c r="AO56" s="1293"/>
      <c r="AP56" s="1293"/>
      <c r="AQ56" s="1293"/>
      <c r="AR56" s="1293"/>
      <c r="AS56" s="1293"/>
      <c r="AY56" s="11">
        <v>14</v>
      </c>
    </row>
    <row r="57" spans="1:51" ht="14.7" customHeight="1">
      <c r="O57" s="63"/>
      <c r="AY57" s="11">
        <v>14</v>
      </c>
    </row>
    <row r="58" spans="1:51" ht="14.7" customHeight="1">
      <c r="O58" s="63"/>
      <c r="S58" s="198"/>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c r="AO58" s="1293"/>
      <c r="AP58" s="1293"/>
      <c r="AQ58" s="1293"/>
      <c r="AR58" s="1293"/>
      <c r="AS58" s="1293"/>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3" hidden="1" customWidth="1"/>
    <col min="2" max="2" width="11" style="63" hidden="1" customWidth="1"/>
    <col min="3" max="3" width="10.625" style="63" hidden="1"/>
    <col min="4" max="4" width="12.875" style="63" hidden="1" customWidth="1"/>
    <col min="5" max="5" width="10" style="63" hidden="1" customWidth="1"/>
    <col min="6" max="6" width="8.75" style="63" hidden="1" customWidth="1"/>
    <col min="7" max="7" width="7.625" style="63" hidden="1" customWidth="1"/>
    <col min="8" max="8" width="11.375" style="63" hidden="1" customWidth="1"/>
    <col min="9" max="9" width="12" style="63" hidden="1" customWidth="1"/>
    <col min="10" max="10" width="9.875" style="63" hidden="1" customWidth="1"/>
    <col min="11" max="11" width="11.375" style="63" hidden="1" customWidth="1"/>
    <col min="12" max="12" width="19.125" style="301" hidden="1" customWidth="1"/>
    <col min="13" max="14" width="12.25" style="506" hidden="1" customWidth="1"/>
    <col min="15" max="15" width="23.375" style="506" hidden="1" customWidth="1"/>
    <col min="16" max="16" width="3.75" style="506" hidden="1" customWidth="1"/>
    <col min="17" max="17" width="3.75" style="772" hidden="1" customWidth="1"/>
    <col min="18" max="18" width="3" style="29" customWidth="1"/>
    <col min="19" max="19" width="12" style="342" customWidth="1"/>
    <col min="20" max="20" width="31" style="11" customWidth="1"/>
    <col min="21" max="21" width="0.125" style="11" customWidth="1"/>
    <col min="22" max="25" width="21.75" style="11" hidden="1" customWidth="1"/>
    <col min="26" max="26" width="11.75" style="11" hidden="1" customWidth="1"/>
    <col min="27" max="27" width="3.75" style="11" hidden="1" customWidth="1"/>
    <col min="28" max="28" width="11.75" style="11" hidden="1" customWidth="1"/>
    <col min="29" max="29" width="8.625" style="11" hidden="1" customWidth="1"/>
    <col min="30" max="30" width="3.75" style="11" customWidth="1"/>
    <col min="31" max="32" width="3" style="11" customWidth="1"/>
    <col min="33" max="33" width="24" style="11" customWidth="1"/>
    <col min="34" max="34" width="3.75" style="11" customWidth="1"/>
    <col min="35" max="36" width="3" style="11" customWidth="1"/>
    <col min="37" max="37" width="24" style="11" customWidth="1"/>
    <col min="38" max="38" width="3.75" style="11" customWidth="1"/>
    <col min="39" max="40" width="3" style="11" customWidth="1"/>
    <col min="41" max="41" width="18" style="11" customWidth="1"/>
    <col min="42" max="42" width="3.75" style="11" customWidth="1"/>
    <col min="43" max="44" width="3" style="11" customWidth="1"/>
    <col min="45" max="45" width="18" style="11" customWidth="1"/>
    <col min="46" max="49" width="21" style="11" customWidth="1"/>
    <col min="50" max="50" width="11" style="11" customWidth="1"/>
    <col min="51" max="51" width="3.75" style="11" customWidth="1"/>
    <col min="52" max="52" width="11" style="11" customWidth="1"/>
    <col min="53" max="53" width="8.625" style="11" hidden="1" customWidth="1"/>
    <col min="54" max="54" width="4" style="11" customWidth="1"/>
    <col min="55" max="55" width="115" style="11" customWidth="1"/>
    <col min="56" max="60" width="10" style="68" customWidth="1"/>
    <col min="61" max="61" width="10.625" style="11" hidden="1"/>
  </cols>
  <sheetData>
    <row r="1" spans="1:61" ht="22.5" hidden="1" customHeight="1">
      <c r="BI1" s="11" t="s">
        <v>14</v>
      </c>
    </row>
    <row r="2" spans="1:61" ht="21" hidden="1" customHeight="1">
      <c r="A2" s="769"/>
      <c r="B2" s="769"/>
      <c r="C2" s="769"/>
      <c r="D2" s="769"/>
      <c r="E2" s="1294">
        <v>1</v>
      </c>
      <c r="F2" s="769"/>
      <c r="G2" s="769"/>
      <c r="H2" s="769"/>
      <c r="I2" s="769"/>
      <c r="J2" s="769"/>
      <c r="K2" s="769"/>
      <c r="L2" s="770"/>
      <c r="M2" s="426"/>
      <c r="N2" s="426"/>
      <c r="O2" s="426"/>
      <c r="Q2" s="62"/>
      <c r="R2" s="207"/>
      <c r="S2" s="709" t="e">
        <f>INDEX(PT_DIFFERENTIATION_NUM_NTAR,MATCH(A2,PT_DIFFERENTIATION_NTAR_ID,0))</f>
        <v>#N/A</v>
      </c>
      <c r="T2" s="67" t="s">
        <v>124</v>
      </c>
      <c r="U2" s="171"/>
      <c r="V2" s="1289"/>
      <c r="W2" s="1289"/>
      <c r="X2" s="1289"/>
      <c r="Y2" s="1289"/>
      <c r="Z2" s="1289"/>
      <c r="AA2" s="1289"/>
      <c r="AB2" s="1289"/>
      <c r="AC2" s="1290"/>
      <c r="AD2" s="1288" t="e">
        <f>INDEX(PT_DIFFERENTIATION_NTAR,MATCH(A2,PT_DIFFERENTIATION_NTAR_ID,0))</f>
        <v>#N/A</v>
      </c>
      <c r="AE2" s="1289"/>
      <c r="AF2" s="1289"/>
      <c r="AG2" s="1289"/>
      <c r="AH2" s="1289"/>
      <c r="AI2" s="1289"/>
      <c r="AJ2" s="1289"/>
      <c r="AK2" s="1289"/>
      <c r="AL2" s="1289"/>
      <c r="AM2" s="1289"/>
      <c r="AN2" s="1289"/>
      <c r="AO2" s="1289"/>
      <c r="AP2" s="1289"/>
      <c r="AQ2" s="1289"/>
      <c r="AR2" s="1289"/>
      <c r="AS2" s="1289"/>
      <c r="AT2" s="1289"/>
      <c r="AU2" s="1289"/>
      <c r="AV2" s="1289"/>
      <c r="AW2" s="1289"/>
      <c r="AX2" s="1289"/>
      <c r="AY2" s="1289"/>
      <c r="AZ2" s="1289"/>
      <c r="BA2" s="1289"/>
      <c r="BB2" s="129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5"/>
      <c r="F3" s="1294">
        <v>1</v>
      </c>
      <c r="G3" s="769"/>
      <c r="H3" s="769"/>
      <c r="I3" s="769"/>
      <c r="J3" s="769"/>
      <c r="K3" s="769"/>
      <c r="L3" s="770"/>
      <c r="M3" s="426"/>
      <c r="N3" s="426"/>
      <c r="O3" s="426"/>
      <c r="P3" s="301"/>
      <c r="Q3" s="802"/>
      <c r="R3" s="205"/>
      <c r="S3" s="709" t="e">
        <f>INDEX(PT_DIFFERENTIATION_NUM_TER,MATCH(B3,PT_DIFFERENTIATION_TER_ID,0))</f>
        <v>#N/A</v>
      </c>
      <c r="T3" s="177" t="s">
        <v>401</v>
      </c>
      <c r="U3" s="171"/>
      <c r="V3" s="1289"/>
      <c r="W3" s="1289"/>
      <c r="X3" s="1289"/>
      <c r="Y3" s="1289"/>
      <c r="Z3" s="1289"/>
      <c r="AA3" s="1289"/>
      <c r="AB3" s="1289"/>
      <c r="AC3" s="1290"/>
      <c r="AD3" s="1288" t="e">
        <f>INDEX(PT_DIFFERENTIATION_TER,MATCH(B3,PT_DIFFERENTIATION_TER_ID,0))</f>
        <v>#N/A</v>
      </c>
      <c r="AE3" s="1289"/>
      <c r="AF3" s="1289"/>
      <c r="AG3" s="1289"/>
      <c r="AH3" s="1289"/>
      <c r="AI3" s="1289"/>
      <c r="AJ3" s="1289"/>
      <c r="AK3" s="1289"/>
      <c r="AL3" s="1289"/>
      <c r="AM3" s="1289"/>
      <c r="AN3" s="1289"/>
      <c r="AO3" s="1289"/>
      <c r="AP3" s="1289"/>
      <c r="AQ3" s="1289"/>
      <c r="AR3" s="1289"/>
      <c r="AS3" s="1289"/>
      <c r="AT3" s="1289"/>
      <c r="AU3" s="1289"/>
      <c r="AV3" s="1289"/>
      <c r="AW3" s="1289"/>
      <c r="AX3" s="1289"/>
      <c r="AY3" s="1289"/>
      <c r="AZ3" s="1289"/>
      <c r="BA3" s="1289"/>
      <c r="BB3" s="1290"/>
      <c r="BC3" s="729" t="s">
        <v>402</v>
      </c>
      <c r="BE3" s="69"/>
      <c r="BF3" s="69" t="str">
        <f t="shared" si="0"/>
        <v>Территория действия тарифа</v>
      </c>
      <c r="BG3" s="69"/>
      <c r="BH3" s="69"/>
      <c r="BI3" s="11">
        <v>0</v>
      </c>
    </row>
    <row r="4" spans="1:61" ht="33.75" hidden="1" customHeight="1">
      <c r="A4" s="769"/>
      <c r="B4" s="769"/>
      <c r="C4" s="769"/>
      <c r="D4" s="769"/>
      <c r="E4" s="1295"/>
      <c r="F4" s="1295"/>
      <c r="G4" s="1294">
        <v>1</v>
      </c>
      <c r="H4" s="769"/>
      <c r="I4" s="769"/>
      <c r="J4" s="769"/>
      <c r="K4" s="769"/>
      <c r="L4" s="770"/>
      <c r="M4" s="426"/>
      <c r="N4" s="426"/>
      <c r="O4" s="426"/>
      <c r="P4" s="131"/>
      <c r="Q4" s="802"/>
      <c r="R4" s="205"/>
      <c r="S4" s="709" t="e">
        <f>INDEX(PT_DIFFERENTIATION_NUM_CS,MATCH(C4,PT_DIFFERENTIATION_CS_ID,0))</f>
        <v>#N/A</v>
      </c>
      <c r="T4" s="178" t="s">
        <v>533</v>
      </c>
      <c r="U4" s="171"/>
      <c r="V4" s="1289"/>
      <c r="W4" s="1289"/>
      <c r="X4" s="1289"/>
      <c r="Y4" s="1289"/>
      <c r="Z4" s="1289"/>
      <c r="AA4" s="1289"/>
      <c r="AB4" s="1289"/>
      <c r="AC4" s="1290"/>
      <c r="AD4" s="1288" t="e">
        <f>INDEX(PT_DIFFERENTIATION_CS,MATCH(C4,PT_DIFFERENTIATION_CS_ID,0))</f>
        <v>#N/A</v>
      </c>
      <c r="AE4" s="1289"/>
      <c r="AF4" s="1289"/>
      <c r="AG4" s="1289"/>
      <c r="AH4" s="1289"/>
      <c r="AI4" s="1289"/>
      <c r="AJ4" s="1289"/>
      <c r="AK4" s="1289"/>
      <c r="AL4" s="1289"/>
      <c r="AM4" s="1289"/>
      <c r="AN4" s="1289"/>
      <c r="AO4" s="1289"/>
      <c r="AP4" s="1289"/>
      <c r="AQ4" s="1289"/>
      <c r="AR4" s="1289"/>
      <c r="AS4" s="1289"/>
      <c r="AT4" s="1289"/>
      <c r="AU4" s="1289"/>
      <c r="AV4" s="1289"/>
      <c r="AW4" s="1289"/>
      <c r="AX4" s="1289"/>
      <c r="AY4" s="1289"/>
      <c r="AZ4" s="1289"/>
      <c r="BA4" s="1289"/>
      <c r="BB4" s="1290"/>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5"/>
      <c r="F5" s="1295"/>
      <c r="G5" s="1295"/>
      <c r="H5" s="1294">
        <v>1</v>
      </c>
      <c r="I5" s="145"/>
      <c r="J5" s="145"/>
      <c r="K5" s="145"/>
      <c r="L5" s="346"/>
      <c r="M5" s="293"/>
      <c r="N5" s="293"/>
      <c r="O5" s="293"/>
      <c r="P5" s="820"/>
      <c r="Q5" s="821"/>
      <c r="R5" s="209"/>
      <c r="S5" s="362"/>
      <c r="T5" s="822"/>
      <c r="U5" s="780"/>
      <c r="V5" s="1326"/>
      <c r="W5" s="1326"/>
      <c r="X5" s="1326"/>
      <c r="Y5" s="1326"/>
      <c r="Z5" s="1326"/>
      <c r="AA5" s="1326"/>
      <c r="AB5" s="1326"/>
      <c r="AC5" s="1327"/>
      <c r="AD5" s="1325"/>
      <c r="AE5" s="1326"/>
      <c r="AF5" s="1326"/>
      <c r="AG5" s="1326"/>
      <c r="AH5" s="1326"/>
      <c r="AI5" s="1326"/>
      <c r="AJ5" s="1326"/>
      <c r="AK5" s="1326"/>
      <c r="AL5" s="1326"/>
      <c r="AM5" s="1326"/>
      <c r="AN5" s="1326"/>
      <c r="AO5" s="1326"/>
      <c r="AP5" s="1326"/>
      <c r="AQ5" s="1326"/>
      <c r="AR5" s="1326"/>
      <c r="AS5" s="1326"/>
      <c r="AT5" s="1326"/>
      <c r="AU5" s="1326"/>
      <c r="AV5" s="1326"/>
      <c r="AW5" s="1326"/>
      <c r="AX5" s="1326"/>
      <c r="AY5" s="1326"/>
      <c r="AZ5" s="1326"/>
      <c r="BA5" s="1326"/>
      <c r="BB5" s="1327"/>
      <c r="BC5" s="781" t="s">
        <v>406</v>
      </c>
      <c r="BE5" s="69"/>
      <c r="BF5" s="69" t="str">
        <f t="shared" si="0"/>
        <v/>
      </c>
      <c r="BG5" s="69"/>
      <c r="BH5" s="69"/>
      <c r="BI5" s="68">
        <v>0</v>
      </c>
    </row>
    <row r="6" spans="1:61" s="68" customFormat="1" ht="14.25" hidden="1" customHeight="1">
      <c r="A6" s="145"/>
      <c r="B6" s="145"/>
      <c r="C6" s="145"/>
      <c r="D6" s="145"/>
      <c r="E6" s="1295"/>
      <c r="F6" s="1295"/>
      <c r="G6" s="1295"/>
      <c r="H6" s="1295"/>
      <c r="I6" s="1296" t="str">
        <f>S5&amp;".1"</f>
        <v>.1</v>
      </c>
      <c r="J6" s="145"/>
      <c r="K6" s="145"/>
      <c r="L6" s="346" t="s">
        <v>407</v>
      </c>
      <c r="M6" s="290"/>
      <c r="N6" s="290"/>
      <c r="O6" s="290"/>
      <c r="P6" s="1298">
        <v>1</v>
      </c>
      <c r="Q6" s="122"/>
      <c r="R6" s="208"/>
      <c r="S6" s="362"/>
      <c r="T6" s="779"/>
      <c r="U6" s="780"/>
      <c r="V6" s="1326"/>
      <c r="W6" s="1326"/>
      <c r="X6" s="1326"/>
      <c r="Y6" s="1326"/>
      <c r="Z6" s="1326"/>
      <c r="AA6" s="1326"/>
      <c r="AB6" s="1326"/>
      <c r="AC6" s="1327"/>
      <c r="AD6" s="1325"/>
      <c r="AE6" s="1326"/>
      <c r="AF6" s="1326"/>
      <c r="AG6" s="1326"/>
      <c r="AH6" s="1326"/>
      <c r="AI6" s="1326"/>
      <c r="AJ6" s="1326"/>
      <c r="AK6" s="1326"/>
      <c r="AL6" s="1326"/>
      <c r="AM6" s="1326"/>
      <c r="AN6" s="1326"/>
      <c r="AO6" s="1326"/>
      <c r="AP6" s="1326"/>
      <c r="AQ6" s="1326"/>
      <c r="AR6" s="1326"/>
      <c r="AS6" s="1326"/>
      <c r="AT6" s="1326"/>
      <c r="AU6" s="1326"/>
      <c r="AV6" s="1326"/>
      <c r="AW6" s="1326"/>
      <c r="AX6" s="1326"/>
      <c r="AY6" s="1326"/>
      <c r="AZ6" s="1326"/>
      <c r="BA6" s="1326"/>
      <c r="BB6" s="1327"/>
      <c r="BC6" s="781"/>
      <c r="BE6" s="69"/>
      <c r="BF6" s="69" t="str">
        <f t="shared" si="0"/>
        <v/>
      </c>
      <c r="BG6" s="69"/>
      <c r="BH6" s="69"/>
      <c r="BI6" s="68">
        <v>0</v>
      </c>
    </row>
    <row r="7" spans="1:61" s="68" customFormat="1" ht="14.25" hidden="1" customHeight="1">
      <c r="A7" s="145"/>
      <c r="B7" s="145"/>
      <c r="C7" s="145"/>
      <c r="D7" s="145"/>
      <c r="E7" s="1295"/>
      <c r="F7" s="1295"/>
      <c r="G7" s="1295"/>
      <c r="H7" s="1295"/>
      <c r="I7" s="1297"/>
      <c r="J7" s="1296" t="str">
        <f>S5&amp;".1"</f>
        <v>.1</v>
      </c>
      <c r="K7" s="145"/>
      <c r="L7" s="346"/>
      <c r="M7" s="290"/>
      <c r="N7" s="290"/>
      <c r="O7" s="290"/>
      <c r="P7" s="1298"/>
      <c r="Q7" s="1298">
        <v>1</v>
      </c>
      <c r="R7" s="209"/>
      <c r="S7" s="362"/>
      <c r="T7" s="794"/>
      <c r="U7" s="780"/>
      <c r="V7" s="1326"/>
      <c r="W7" s="1326"/>
      <c r="X7" s="1326"/>
      <c r="Y7" s="1326"/>
      <c r="Z7" s="1326"/>
      <c r="AA7" s="1326"/>
      <c r="AB7" s="1326"/>
      <c r="AC7" s="1327"/>
      <c r="AD7" s="1325"/>
      <c r="AE7" s="1326"/>
      <c r="AF7" s="1326"/>
      <c r="AG7" s="1326"/>
      <c r="AH7" s="1326"/>
      <c r="AI7" s="1326"/>
      <c r="AJ7" s="1326"/>
      <c r="AK7" s="1326"/>
      <c r="AL7" s="1326"/>
      <c r="AM7" s="1326"/>
      <c r="AN7" s="1326"/>
      <c r="AO7" s="1326"/>
      <c r="AP7" s="1326"/>
      <c r="AQ7" s="1326"/>
      <c r="AR7" s="1326"/>
      <c r="AS7" s="1326"/>
      <c r="AT7" s="1326"/>
      <c r="AU7" s="1326"/>
      <c r="AV7" s="1326"/>
      <c r="AW7" s="1326"/>
      <c r="AX7" s="1326"/>
      <c r="AY7" s="1326"/>
      <c r="AZ7" s="1326"/>
      <c r="BA7" s="1326"/>
      <c r="BB7" s="1327"/>
      <c r="BC7" s="781"/>
      <c r="BE7" s="69"/>
      <c r="BF7" s="69" t="str">
        <f t="shared" si="0"/>
        <v/>
      </c>
      <c r="BG7" s="69"/>
      <c r="BH7" s="69"/>
      <c r="BI7" s="68">
        <v>0</v>
      </c>
    </row>
    <row r="8" spans="1:61" ht="11.25" hidden="1" customHeight="1">
      <c r="A8" s="769"/>
      <c r="B8" s="769"/>
      <c r="C8" s="769"/>
      <c r="D8" s="769"/>
      <c r="E8" s="1295"/>
      <c r="F8" s="1295"/>
      <c r="G8" s="1295"/>
      <c r="H8" s="1295"/>
      <c r="I8" s="1297"/>
      <c r="J8" s="1297"/>
      <c r="K8" s="1296" t="e">
        <f>S4&amp;".1"</f>
        <v>#N/A</v>
      </c>
      <c r="L8" s="770"/>
      <c r="P8" s="1298"/>
      <c r="Q8" s="1298"/>
      <c r="R8" s="1354">
        <v>1</v>
      </c>
      <c r="S8" s="1351" t="e">
        <f>$K8</f>
        <v>#N/A</v>
      </c>
      <c r="T8" s="1371"/>
      <c r="U8" s="171"/>
      <c r="V8" s="306"/>
      <c r="W8" s="728"/>
      <c r="X8" s="306"/>
      <c r="Y8" s="728"/>
      <c r="Z8" s="943"/>
      <c r="AA8" s="297" t="s">
        <v>67</v>
      </c>
      <c r="AB8" s="943"/>
      <c r="AC8" s="297" t="s">
        <v>67</v>
      </c>
      <c r="AD8" s="1224" t="s">
        <v>67</v>
      </c>
      <c r="AE8" s="1347"/>
      <c r="AF8" s="1251">
        <v>1</v>
      </c>
      <c r="AG8" s="1370"/>
      <c r="AH8" s="1168" t="s">
        <v>67</v>
      </c>
      <c r="AI8" s="1347"/>
      <c r="AJ8" s="1251">
        <v>1</v>
      </c>
      <c r="AK8" s="1361" t="s">
        <v>28</v>
      </c>
      <c r="AL8" s="1168" t="s">
        <v>67</v>
      </c>
      <c r="AM8" s="1228"/>
      <c r="AN8" s="1251">
        <v>1</v>
      </c>
      <c r="AO8" s="1374"/>
      <c r="AP8" s="1375" t="s">
        <v>67</v>
      </c>
      <c r="AQ8" s="180"/>
      <c r="AR8" s="268">
        <v>1</v>
      </c>
      <c r="AS8" s="119" t="s">
        <v>28</v>
      </c>
      <c r="AT8" s="306"/>
      <c r="AU8" s="728"/>
      <c r="AV8" s="306"/>
      <c r="AW8" s="728"/>
      <c r="AX8" s="943"/>
      <c r="AY8" s="297" t="s">
        <v>67</v>
      </c>
      <c r="AZ8" s="943"/>
      <c r="BA8" s="297" t="s">
        <v>67</v>
      </c>
      <c r="BB8" s="766"/>
      <c r="BC8" s="1317" t="s">
        <v>502</v>
      </c>
      <c r="BE8" s="69"/>
      <c r="BF8" s="69" t="str">
        <f t="shared" si="0"/>
        <v/>
      </c>
      <c r="BG8" s="69"/>
      <c r="BH8" s="69"/>
      <c r="BI8" s="11">
        <v>0</v>
      </c>
    </row>
    <row r="9" spans="1:61" ht="11.25" hidden="1" customHeight="1">
      <c r="A9" s="769"/>
      <c r="B9" s="769"/>
      <c r="C9" s="769"/>
      <c r="D9" s="769"/>
      <c r="E9" s="1295"/>
      <c r="F9" s="1295"/>
      <c r="G9" s="1295"/>
      <c r="H9" s="1295"/>
      <c r="I9" s="1297"/>
      <c r="J9" s="1297"/>
      <c r="K9" s="1296"/>
      <c r="L9" s="770"/>
      <c r="P9" s="1298"/>
      <c r="Q9" s="1298"/>
      <c r="R9" s="1354"/>
      <c r="S9" s="1352"/>
      <c r="T9" s="1372"/>
      <c r="U9" s="171"/>
      <c r="V9" s="789"/>
      <c r="W9" s="819"/>
      <c r="X9" s="789"/>
      <c r="Y9" s="819"/>
      <c r="Z9" s="789"/>
      <c r="AA9" s="789"/>
      <c r="AB9" s="789"/>
      <c r="AC9" s="789"/>
      <c r="AD9" s="1225"/>
      <c r="AE9" s="1347"/>
      <c r="AF9" s="1251"/>
      <c r="AG9" s="1370"/>
      <c r="AH9" s="1168"/>
      <c r="AI9" s="1347"/>
      <c r="AJ9" s="1251"/>
      <c r="AK9" s="1361"/>
      <c r="AL9" s="1168"/>
      <c r="AM9" s="1233"/>
      <c r="AN9" s="1251"/>
      <c r="AO9" s="1374"/>
      <c r="AP9" s="1376"/>
      <c r="AQ9" s="184"/>
      <c r="AR9" s="52"/>
      <c r="AS9" s="52" t="s">
        <v>503</v>
      </c>
      <c r="AT9" s="789"/>
      <c r="AU9" s="819"/>
      <c r="AV9" s="789"/>
      <c r="AW9" s="819"/>
      <c r="AX9" s="789"/>
      <c r="AY9" s="789"/>
      <c r="AZ9" s="789"/>
      <c r="BA9" s="789"/>
      <c r="BB9" s="793"/>
      <c r="BC9" s="1318"/>
      <c r="BE9" s="69"/>
      <c r="BF9" s="69"/>
      <c r="BG9" s="69"/>
      <c r="BH9" s="69"/>
      <c r="BI9" s="11">
        <v>0</v>
      </c>
    </row>
    <row r="10" spans="1:61" ht="11.25" hidden="1" customHeight="1">
      <c r="A10" s="769"/>
      <c r="B10" s="769"/>
      <c r="C10" s="769"/>
      <c r="D10" s="769"/>
      <c r="E10" s="1295"/>
      <c r="F10" s="1295"/>
      <c r="G10" s="1295"/>
      <c r="H10" s="1295"/>
      <c r="I10" s="1297"/>
      <c r="J10" s="1297"/>
      <c r="K10" s="1296"/>
      <c r="L10" s="770"/>
      <c r="P10" s="1298"/>
      <c r="Q10" s="1298"/>
      <c r="R10" s="1354"/>
      <c r="S10" s="1352"/>
      <c r="T10" s="1372"/>
      <c r="U10" s="171"/>
      <c r="V10" s="789"/>
      <c r="W10" s="819"/>
      <c r="X10" s="789"/>
      <c r="Y10" s="819"/>
      <c r="Z10" s="789"/>
      <c r="AA10" s="789"/>
      <c r="AB10" s="789"/>
      <c r="AC10" s="789"/>
      <c r="AD10" s="1225"/>
      <c r="AE10" s="1347"/>
      <c r="AF10" s="1251"/>
      <c r="AG10" s="1370"/>
      <c r="AH10" s="1168"/>
      <c r="AI10" s="1347"/>
      <c r="AJ10" s="1251"/>
      <c r="AK10" s="1361"/>
      <c r="AL10" s="1168"/>
      <c r="AM10" s="184"/>
      <c r="AN10" s="823"/>
      <c r="AO10" s="823" t="s">
        <v>504</v>
      </c>
      <c r="AP10" s="52"/>
      <c r="AQ10" s="52"/>
      <c r="AR10" s="52"/>
      <c r="AS10" s="789"/>
      <c r="AT10" s="789"/>
      <c r="AU10" s="819"/>
      <c r="AV10" s="789"/>
      <c r="AW10" s="819"/>
      <c r="AX10" s="789"/>
      <c r="AY10" s="789"/>
      <c r="AZ10" s="789"/>
      <c r="BA10" s="789"/>
      <c r="BB10" s="793"/>
      <c r="BC10" s="1318"/>
      <c r="BE10" s="69"/>
      <c r="BF10" s="69"/>
      <c r="BG10" s="69"/>
      <c r="BH10" s="69"/>
      <c r="BI10" s="11">
        <v>0</v>
      </c>
    </row>
    <row r="11" spans="1:61" ht="11.25" hidden="1" customHeight="1">
      <c r="A11" s="769"/>
      <c r="B11" s="769"/>
      <c r="C11" s="769"/>
      <c r="D11" s="769"/>
      <c r="E11" s="1295"/>
      <c r="F11" s="1295"/>
      <c r="G11" s="1295"/>
      <c r="H11" s="1295"/>
      <c r="I11" s="1297"/>
      <c r="J11" s="1297"/>
      <c r="K11" s="1296"/>
      <c r="L11" s="770"/>
      <c r="P11" s="1298"/>
      <c r="Q11" s="1298"/>
      <c r="R11" s="1354"/>
      <c r="S11" s="1352"/>
      <c r="T11" s="1372"/>
      <c r="U11" s="171"/>
      <c r="V11" s="789"/>
      <c r="W11" s="819"/>
      <c r="X11" s="789"/>
      <c r="Y11" s="819"/>
      <c r="Z11" s="789"/>
      <c r="AA11" s="789"/>
      <c r="AB11" s="789"/>
      <c r="AC11" s="789"/>
      <c r="AD11" s="1225"/>
      <c r="AE11" s="1347"/>
      <c r="AF11" s="1251"/>
      <c r="AG11" s="1370"/>
      <c r="AH11" s="1168"/>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18"/>
      <c r="BE11" s="69"/>
      <c r="BF11" s="69"/>
      <c r="BG11" s="69"/>
      <c r="BH11" s="69"/>
      <c r="BI11" s="11">
        <v>0</v>
      </c>
    </row>
    <row r="12" spans="1:61" ht="11.25" hidden="1" customHeight="1">
      <c r="A12" s="769"/>
      <c r="B12" s="769"/>
      <c r="C12" s="769"/>
      <c r="D12" s="769"/>
      <c r="E12" s="1295"/>
      <c r="F12" s="1295"/>
      <c r="G12" s="1295"/>
      <c r="H12" s="1295"/>
      <c r="I12" s="1297"/>
      <c r="J12" s="1297"/>
      <c r="K12" s="1296"/>
      <c r="L12" s="770"/>
      <c r="P12" s="1298"/>
      <c r="Q12" s="1298"/>
      <c r="R12" s="1354"/>
      <c r="S12" s="1353"/>
      <c r="T12" s="1373"/>
      <c r="U12" s="171"/>
      <c r="V12" s="789"/>
      <c r="W12" s="790" t="str">
        <f>Z8&amp;"-"&amp;AB8</f>
        <v>-</v>
      </c>
      <c r="X12" s="789"/>
      <c r="Y12" s="790" t="str">
        <f>AB8&amp;"-"&amp;AD8</f>
        <v>-да</v>
      </c>
      <c r="Z12" s="789"/>
      <c r="AA12" s="789"/>
      <c r="AB12" s="789"/>
      <c r="AC12" s="789"/>
      <c r="AD12" s="1173"/>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8"/>
      <c r="BE12" s="69"/>
      <c r="BF12" s="69" t="str">
        <f t="shared" ref="BF12:BF18" si="1">IF(T12="","",T12)</f>
        <v/>
      </c>
      <c r="BG12" s="69"/>
      <c r="BH12" s="69"/>
      <c r="BI12" s="11">
        <v>0</v>
      </c>
    </row>
    <row r="13" spans="1:61" ht="11.25" hidden="1" customHeight="1">
      <c r="A13" s="769"/>
      <c r="B13" s="769"/>
      <c r="C13" s="769"/>
      <c r="D13" s="769"/>
      <c r="E13" s="1295"/>
      <c r="F13" s="1295"/>
      <c r="G13" s="1295"/>
      <c r="H13" s="1295"/>
      <c r="I13" s="1297"/>
      <c r="J13" s="1296"/>
      <c r="K13" s="769"/>
      <c r="L13" s="770"/>
      <c r="P13" s="1298"/>
      <c r="Q13" s="129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9"/>
      <c r="BE13" s="69"/>
      <c r="BF13" s="69" t="str">
        <f t="shared" si="1"/>
        <v>Добавить строку</v>
      </c>
      <c r="BG13" s="69"/>
      <c r="BH13" s="69"/>
      <c r="BI13" s="11">
        <v>0</v>
      </c>
    </row>
    <row r="14" spans="1:61" s="68" customFormat="1" ht="14.25" hidden="1" customHeight="1">
      <c r="A14" s="145"/>
      <c r="B14" s="145"/>
      <c r="C14" s="145"/>
      <c r="D14" s="145"/>
      <c r="E14" s="1295"/>
      <c r="F14" s="1295"/>
      <c r="G14" s="1295"/>
      <c r="H14" s="1295"/>
      <c r="I14" s="1296"/>
      <c r="J14" s="145"/>
      <c r="K14" s="145"/>
      <c r="L14" s="346"/>
      <c r="M14" s="290"/>
      <c r="N14" s="290"/>
      <c r="O14" s="290"/>
      <c r="P14" s="129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5"/>
      <c r="F15" s="1295"/>
      <c r="G15" s="1295"/>
      <c r="H15" s="129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5"/>
      <c r="F16" s="1295"/>
      <c r="G16" s="129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5"/>
      <c r="F17" s="1294"/>
      <c r="G17" s="145"/>
      <c r="H17" s="145"/>
      <c r="I17" s="145"/>
      <c r="J17" s="145"/>
      <c r="K17" s="145"/>
      <c r="L17" s="346"/>
      <c r="M17" s="759"/>
      <c r="N17" s="759"/>
      <c r="P17" s="104"/>
      <c r="Q17" s="755"/>
      <c r="R17" s="104"/>
      <c r="S17" s="760"/>
      <c r="T17" s="762" t="s">
        <v>275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4"/>
      <c r="F18" s="145"/>
      <c r="G18" s="145"/>
      <c r="H18" s="145"/>
      <c r="I18" s="145"/>
      <c r="J18" s="145"/>
      <c r="K18" s="145"/>
      <c r="L18" s="346"/>
      <c r="M18" s="759"/>
      <c r="N18" s="759"/>
      <c r="P18" s="104"/>
      <c r="Q18" s="755"/>
      <c r="R18" s="104"/>
      <c r="S18" s="760"/>
      <c r="T18" s="762" t="s">
        <v>276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67</v>
      </c>
      <c r="AZ20" s="945"/>
      <c r="BA20" s="816" t="s">
        <v>67</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507</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7" customHeight="1">
      <c r="Q27" s="168"/>
      <c r="R27" s="28"/>
      <c r="S27" s="739"/>
      <c r="T27" s="10"/>
      <c r="U27" s="10"/>
      <c r="BI27" s="11">
        <v>14</v>
      </c>
    </row>
    <row r="28" spans="1:61" ht="14.7" customHeight="1">
      <c r="Q28" s="168"/>
      <c r="R28" s="28"/>
      <c r="S28" s="127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75"/>
      <c r="U28" s="1275"/>
      <c r="V28" s="1275"/>
      <c r="W28" s="1275"/>
      <c r="X28" s="1275"/>
      <c r="Y28" s="1275"/>
      <c r="Z28" s="1275"/>
      <c r="AA28" s="1275"/>
      <c r="AB28" s="1275"/>
      <c r="AC28" s="1275"/>
      <c r="AD28" s="1275"/>
      <c r="AE28" s="1275"/>
      <c r="AF28" s="1275"/>
      <c r="AG28" s="1275"/>
      <c r="AH28" s="1275"/>
      <c r="AI28" s="1275"/>
      <c r="AJ28" s="1275"/>
      <c r="AK28" s="1275"/>
      <c r="AL28" s="1275"/>
      <c r="AM28" s="1275"/>
      <c r="AN28" s="1275"/>
      <c r="AO28" s="1275"/>
      <c r="AP28" s="1275"/>
      <c r="AQ28" s="1275"/>
      <c r="AR28" s="1275"/>
      <c r="AS28" s="1275"/>
      <c r="AT28" s="1275"/>
      <c r="AU28" s="1275"/>
      <c r="AV28" s="1275"/>
      <c r="AW28" s="1275"/>
      <c r="AX28" s="1275"/>
      <c r="AY28" s="1275"/>
      <c r="AZ28" s="1275"/>
      <c r="BA28" s="59"/>
      <c r="BI28" s="11">
        <v>14</v>
      </c>
    </row>
    <row r="29" spans="1:61" ht="14.7" customHeight="1">
      <c r="Q29" s="168"/>
      <c r="R29" s="28"/>
      <c r="S29" s="1247" t="str">
        <f>IF(org=0,"Не определено",org)</f>
        <v>АО "Юграавиа"</v>
      </c>
      <c r="T29" s="1247"/>
      <c r="U29" s="1247"/>
      <c r="V29" s="1247"/>
      <c r="W29" s="1247"/>
      <c r="X29" s="1247"/>
      <c r="Y29" s="1247"/>
      <c r="Z29" s="1247"/>
      <c r="AA29" s="1247"/>
      <c r="AB29" s="1247"/>
      <c r="AC29" s="1247"/>
      <c r="AD29" s="1247"/>
      <c r="AE29" s="1247"/>
      <c r="AF29" s="1247"/>
      <c r="AG29" s="1247"/>
      <c r="AH29" s="1247"/>
      <c r="AI29" s="1247"/>
      <c r="AJ29" s="1247"/>
      <c r="AK29" s="1247"/>
      <c r="AL29" s="1247"/>
      <c r="AM29" s="1247"/>
      <c r="AN29" s="1247"/>
      <c r="AO29" s="1247"/>
      <c r="AP29" s="1247"/>
      <c r="AQ29" s="1247"/>
      <c r="AR29" s="1247"/>
      <c r="AS29" s="1247"/>
      <c r="AT29" s="1247"/>
      <c r="AU29" s="1247"/>
      <c r="AV29" s="1247"/>
      <c r="AW29" s="1247"/>
      <c r="AX29" s="1247"/>
      <c r="AY29" s="1247"/>
      <c r="AZ29" s="1247"/>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85" t="s">
        <v>42</v>
      </c>
      <c r="T31" s="1285"/>
      <c r="U31" s="773"/>
      <c r="V31" s="1287" t="str">
        <f>IF(TITLE_NAME_OR_PR_CHANGE="",IF(TITLE_NAME_OR_PR="","",TITLE_NAME_OR_PR),TITLE_NAME_OR_PR_CHANGE)</f>
        <v>Региональная служба по тарифам Ханты-Мансийского автономного округа – Югры (РСТ Югры)</v>
      </c>
      <c r="W31" s="1287"/>
      <c r="X31" s="1287"/>
      <c r="Y31" s="1287"/>
      <c r="Z31" s="1287"/>
      <c r="AA31" s="1287"/>
      <c r="AB31" s="1287"/>
      <c r="AC31" s="11"/>
      <c r="AD31" s="1287" t="str">
        <f>IF(TITLE_NAME_OR_PR_CHANGE="",IF(TITLE_NAME_OR_PR="","",TITLE_NAME_OR_PR),TITLE_NAME_OR_PR_CHANGE)</f>
        <v>Региональная служба по тарифам Ханты-Мансийского автономного округа – Югры (РСТ Югры)</v>
      </c>
      <c r="AE31" s="1287"/>
      <c r="AF31" s="1287"/>
      <c r="AG31" s="1287"/>
      <c r="AH31" s="1287"/>
      <c r="AI31" s="1287"/>
      <c r="AJ31" s="1287"/>
      <c r="AK31" s="1287"/>
      <c r="AL31" s="1287"/>
      <c r="AM31" s="1287"/>
      <c r="AN31" s="1287"/>
      <c r="AO31" s="1287"/>
      <c r="AP31" s="1287"/>
      <c r="AQ31" s="1287"/>
      <c r="AR31" s="1287"/>
      <c r="AS31" s="1287"/>
      <c r="AT31" s="1287"/>
      <c r="AU31" s="1287"/>
      <c r="AV31" s="1287"/>
      <c r="AW31" s="1287"/>
      <c r="AX31" s="1287"/>
      <c r="AY31" s="1287"/>
      <c r="AZ31" s="1287"/>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85" t="s">
        <v>425</v>
      </c>
      <c r="T32" s="1285"/>
      <c r="U32" s="773"/>
      <c r="V32" s="1286">
        <f>IF(TITLE_DATE_PR_CHANGE="",IF(TITLE_DATE_PR="","",TITLE_DATE_PR),TITLE_DATE_PR_CHANGE)</f>
        <v>45999</v>
      </c>
      <c r="W32" s="1286"/>
      <c r="X32" s="1286"/>
      <c r="Y32" s="1286"/>
      <c r="Z32" s="1286"/>
      <c r="AA32" s="1286"/>
      <c r="AB32" s="1286"/>
      <c r="AC32" s="11"/>
      <c r="AD32" s="1286">
        <f>IF(TITLE_DATE_PR_CHANGE="",IF(TITLE_DATE_PR="","",TITLE_DATE_PR),TITLE_DATE_PR_CHANGE)</f>
        <v>45999</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85" t="s">
        <v>426</v>
      </c>
      <c r="T33" s="1285"/>
      <c r="U33" s="773"/>
      <c r="V33" s="1287" t="str">
        <f>IF(TITLE_NUMBER_PR_CHANGE="",IF(TITLE_NUMBER_PR="","",TITLE_NUMBER_PR),TITLE_NUMBER_PR_CHANGE)</f>
        <v>94-нп</v>
      </c>
      <c r="W33" s="1287"/>
      <c r="X33" s="1287"/>
      <c r="Y33" s="1287"/>
      <c r="Z33" s="1287"/>
      <c r="AA33" s="1287"/>
      <c r="AB33" s="1287"/>
      <c r="AC33" s="11"/>
      <c r="AD33" s="1287" t="str">
        <f>IF(TITLE_NUMBER_PR_CHANGE="",IF(TITLE_NUMBER_PR="","",TITLE_NUMBER_PR),TITLE_NUMBER_PR_CHANGE)</f>
        <v>94-нп</v>
      </c>
      <c r="AE33" s="1287"/>
      <c r="AF33" s="1287"/>
      <c r="AG33" s="1287"/>
      <c r="AH33" s="1287"/>
      <c r="AI33" s="1287"/>
      <c r="AJ33" s="1287"/>
      <c r="AK33" s="1287"/>
      <c r="AL33" s="1287"/>
      <c r="AM33" s="1287"/>
      <c r="AN33" s="1287"/>
      <c r="AO33" s="1287"/>
      <c r="AP33" s="1287"/>
      <c r="AQ33" s="1287"/>
      <c r="AR33" s="1287"/>
      <c r="AS33" s="1287"/>
      <c r="AT33" s="1287"/>
      <c r="AU33" s="1287"/>
      <c r="AV33" s="1287"/>
      <c r="AW33" s="1287"/>
      <c r="AX33" s="1287"/>
      <c r="AY33" s="1287"/>
      <c r="AZ33" s="1287"/>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85" t="s">
        <v>44</v>
      </c>
      <c r="T34" s="1285"/>
      <c r="U34" s="773"/>
      <c r="V34" s="1287" t="str">
        <f>IF(TITLE_IST_PUB_CHANGE="",IF(TITLE_IST_PUB="","",TITLE_IST_PUB),TITLE_IST_PUB_CHANGE)</f>
        <v>«Официальный интернет-портал правовой информации» (www.pravo.gov.ru)</v>
      </c>
      <c r="W34" s="1287"/>
      <c r="X34" s="1287"/>
      <c r="Y34" s="1287"/>
      <c r="Z34" s="1287"/>
      <c r="AA34" s="1287"/>
      <c r="AB34" s="1287"/>
      <c r="AC34" s="11"/>
      <c r="AD34" s="1287" t="str">
        <f>IF(TITLE_IST_PUB_CHANGE="",IF(TITLE_IST_PUB="","",TITLE_IST_PUB),TITLE_IST_PUB_CHANGE)</f>
        <v>«Официальный интернет-портал правовой информации» (www.pravo.gov.ru)</v>
      </c>
      <c r="AE34" s="1287"/>
      <c r="AF34" s="1287"/>
      <c r="AG34" s="1287"/>
      <c r="AH34" s="1287"/>
      <c r="AI34" s="1287"/>
      <c r="AJ34" s="1287"/>
      <c r="AK34" s="1287"/>
      <c r="AL34" s="1287"/>
      <c r="AM34" s="1287"/>
      <c r="AN34" s="1287"/>
      <c r="AO34" s="1287"/>
      <c r="AP34" s="1287"/>
      <c r="AQ34" s="1287"/>
      <c r="AR34" s="1287"/>
      <c r="AS34" s="1287"/>
      <c r="AT34" s="1287"/>
      <c r="AU34" s="1287"/>
      <c r="AV34" s="1287"/>
      <c r="AW34" s="1287"/>
      <c r="AX34" s="1287"/>
      <c r="AY34" s="1287"/>
      <c r="AZ34" s="128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85" t="s">
        <v>425</v>
      </c>
      <c r="T36" s="1285"/>
      <c r="U36" s="773"/>
      <c r="V36" s="1286">
        <f>IF(TITLE_DATE_PR_CHANGE="",IF(TITLE_DATE_PR="","",TITLE_DATE_PR),TITLE_DATE_PR_CHANGE)</f>
        <v>45999</v>
      </c>
      <c r="W36" s="1286"/>
      <c r="X36" s="1286"/>
      <c r="Y36" s="1286"/>
      <c r="Z36" s="1286"/>
      <c r="AA36" s="1286"/>
      <c r="AB36" s="1286"/>
      <c r="AC36" s="11"/>
      <c r="AD36" s="1286">
        <f>IF(TITLE_DATE_PR_CHANGE="",IF(TITLE_DATE_PR="","",TITLE_DATE_PR),TITLE_DATE_PR_CHANGE)</f>
        <v>45999</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85" t="s">
        <v>426</v>
      </c>
      <c r="T37" s="1285"/>
      <c r="U37" s="773"/>
      <c r="V37" s="1287" t="str">
        <f>IF(TITLE_NUMBER_PR_CHANGE="",IF(TITLE_NUMBER_PR="","",TITLE_NUMBER_PR),TITLE_NUMBER_PR_CHANGE)</f>
        <v>94-нп</v>
      </c>
      <c r="W37" s="1287"/>
      <c r="X37" s="1287"/>
      <c r="Y37" s="1287"/>
      <c r="Z37" s="1287"/>
      <c r="AA37" s="1287"/>
      <c r="AB37" s="1287"/>
      <c r="AC37" s="11"/>
      <c r="AD37" s="1287" t="str">
        <f>IF(TITLE_NUMBER_PR_CHANGE="",IF(TITLE_NUMBER_PR="","",TITLE_NUMBER_PR),TITLE_NUMBER_PR_CHANGE)</f>
        <v>94-нп</v>
      </c>
      <c r="AE37" s="1287"/>
      <c r="AF37" s="1287"/>
      <c r="AG37" s="1287"/>
      <c r="AH37" s="1287"/>
      <c r="AI37" s="1287"/>
      <c r="AJ37" s="1287"/>
      <c r="AK37" s="1287"/>
      <c r="AL37" s="1287"/>
      <c r="AM37" s="1287"/>
      <c r="AN37" s="1287"/>
      <c r="AO37" s="1287"/>
      <c r="AP37" s="1287"/>
      <c r="AQ37" s="1287"/>
      <c r="AR37" s="1287"/>
      <c r="AS37" s="1287"/>
      <c r="AT37" s="1287"/>
      <c r="AU37" s="1287"/>
      <c r="AV37" s="1287"/>
      <c r="AW37" s="1287"/>
      <c r="AX37" s="1287"/>
      <c r="AY37" s="1287"/>
      <c r="AZ37" s="128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7" customHeight="1">
      <c r="Q39" s="168"/>
      <c r="R39" s="28"/>
      <c r="S39" s="739"/>
      <c r="T39" s="10"/>
      <c r="U39" s="720"/>
      <c r="V39" s="1306"/>
      <c r="W39" s="1306"/>
      <c r="X39" s="1306"/>
      <c r="Y39" s="1306"/>
      <c r="Z39" s="1306"/>
      <c r="AA39" s="1306"/>
      <c r="AB39" s="1306"/>
      <c r="AC39" s="1306"/>
      <c r="AD39" s="1306"/>
      <c r="AE39" s="1306"/>
      <c r="AF39" s="1306"/>
      <c r="AG39" s="1306"/>
      <c r="AH39" s="1306"/>
      <c r="AI39" s="1306"/>
      <c r="AJ39" s="1306"/>
      <c r="AK39" s="1306"/>
      <c r="AL39" s="1306"/>
      <c r="AM39" s="1306"/>
      <c r="AN39" s="1306"/>
      <c r="AO39" s="1306"/>
      <c r="AP39" s="1306"/>
      <c r="AQ39" s="1306"/>
      <c r="AR39" s="1306"/>
      <c r="AS39" s="1306"/>
      <c r="AT39" s="1306"/>
      <c r="AU39" s="1306"/>
      <c r="AV39" s="1306"/>
      <c r="AW39" s="1306"/>
      <c r="AX39" s="1306"/>
      <c r="AY39" s="1306"/>
      <c r="AZ39" s="1306"/>
      <c r="BA39" s="1306"/>
      <c r="BI39" s="11">
        <v>14</v>
      </c>
    </row>
    <row r="40" spans="1:61" ht="14.7" customHeight="1">
      <c r="Q40" s="168"/>
      <c r="R40" s="28"/>
      <c r="S40" s="1158" t="s">
        <v>304</v>
      </c>
      <c r="T40" s="1158"/>
      <c r="U40" s="1158"/>
      <c r="V40" s="1158"/>
      <c r="W40" s="1158"/>
      <c r="X40" s="1158"/>
      <c r="Y40" s="1158"/>
      <c r="Z40" s="1158"/>
      <c r="AA40" s="1158"/>
      <c r="AB40" s="1158"/>
      <c r="AC40" s="1158"/>
      <c r="AD40" s="1158"/>
      <c r="AE40" s="1158"/>
      <c r="AF40" s="1158"/>
      <c r="AG40" s="1158"/>
      <c r="AH40" s="1158"/>
      <c r="AI40" s="1158"/>
      <c r="AJ40" s="1158"/>
      <c r="AK40" s="1158"/>
      <c r="AL40" s="1158"/>
      <c r="AM40" s="1158"/>
      <c r="AN40" s="1158"/>
      <c r="AO40" s="1158"/>
      <c r="AP40" s="1158"/>
      <c r="AQ40" s="1158"/>
      <c r="AR40" s="1158"/>
      <c r="AS40" s="1158"/>
      <c r="AT40" s="1158"/>
      <c r="AU40" s="1158"/>
      <c r="AV40" s="1158"/>
      <c r="AW40" s="1158"/>
      <c r="AX40" s="1158"/>
      <c r="AY40" s="1158"/>
      <c r="AZ40" s="1158"/>
      <c r="BA40" s="1158"/>
      <c r="BB40" s="1158"/>
      <c r="BC40" s="1158" t="s">
        <v>305</v>
      </c>
      <c r="BI40" s="11">
        <v>14</v>
      </c>
    </row>
    <row r="41" spans="1:61" ht="14.7" customHeight="1">
      <c r="Q41" s="168"/>
      <c r="R41" s="28"/>
      <c r="S41" s="1307" t="s">
        <v>89</v>
      </c>
      <c r="T41" s="1255" t="s">
        <v>508</v>
      </c>
      <c r="U41" s="172"/>
      <c r="V41" s="1308" t="s">
        <v>431</v>
      </c>
      <c r="W41" s="1309"/>
      <c r="X41" s="1309"/>
      <c r="Y41" s="1309"/>
      <c r="Z41" s="1309"/>
      <c r="AA41" s="1309"/>
      <c r="AB41" s="1310"/>
      <c r="AC41" s="1311" t="s">
        <v>432</v>
      </c>
      <c r="AD41" s="1340" t="s">
        <v>509</v>
      </c>
      <c r="AE41" s="1324"/>
      <c r="AF41" s="1324"/>
      <c r="AG41" s="1341"/>
      <c r="AH41" s="1340" t="s">
        <v>510</v>
      </c>
      <c r="AI41" s="1324"/>
      <c r="AJ41" s="1324"/>
      <c r="AK41" s="1341"/>
      <c r="AL41" s="1340" t="s">
        <v>511</v>
      </c>
      <c r="AM41" s="1324"/>
      <c r="AN41" s="1324"/>
      <c r="AO41" s="1341"/>
      <c r="AP41" s="1340" t="s">
        <v>512</v>
      </c>
      <c r="AQ41" s="1324"/>
      <c r="AR41" s="1324"/>
      <c r="AS41" s="1341"/>
      <c r="AT41" s="1308" t="s">
        <v>431</v>
      </c>
      <c r="AU41" s="1309"/>
      <c r="AV41" s="1309"/>
      <c r="AW41" s="1309"/>
      <c r="AX41" s="1309"/>
      <c r="AY41" s="1309"/>
      <c r="AZ41" s="1310"/>
      <c r="BA41" s="1311" t="s">
        <v>432</v>
      </c>
      <c r="BB41" s="1314" t="s">
        <v>434</v>
      </c>
      <c r="BC41" s="1158"/>
      <c r="BI41" s="11">
        <v>14</v>
      </c>
    </row>
    <row r="42" spans="1:61" ht="35.700000000000003" customHeight="1">
      <c r="Q42" s="168"/>
      <c r="R42" s="28"/>
      <c r="S42" s="1307"/>
      <c r="T42" s="1255"/>
      <c r="U42" s="607"/>
      <c r="V42" s="1228" t="s">
        <v>513</v>
      </c>
      <c r="W42" s="1229"/>
      <c r="X42" s="1228" t="s">
        <v>514</v>
      </c>
      <c r="Y42" s="1229"/>
      <c r="Z42" s="1228" t="s">
        <v>515</v>
      </c>
      <c r="AA42" s="1336"/>
      <c r="AB42" s="1229"/>
      <c r="AC42" s="1312"/>
      <c r="AD42" s="1342"/>
      <c r="AE42" s="1343"/>
      <c r="AF42" s="1343"/>
      <c r="AG42" s="1355"/>
      <c r="AH42" s="1342"/>
      <c r="AI42" s="1343"/>
      <c r="AJ42" s="1343"/>
      <c r="AK42" s="1355"/>
      <c r="AL42" s="1342"/>
      <c r="AM42" s="1343"/>
      <c r="AN42" s="1343"/>
      <c r="AO42" s="1355"/>
      <c r="AP42" s="1342"/>
      <c r="AQ42" s="1343"/>
      <c r="AR42" s="1343"/>
      <c r="AS42" s="1355"/>
      <c r="AT42" s="1228" t="s">
        <v>513</v>
      </c>
      <c r="AU42" s="1229"/>
      <c r="AV42" s="1228" t="s">
        <v>514</v>
      </c>
      <c r="AW42" s="1229"/>
      <c r="AX42" s="1228" t="s">
        <v>515</v>
      </c>
      <c r="AY42" s="1336"/>
      <c r="AZ42" s="1229"/>
      <c r="BA42" s="1312"/>
      <c r="BB42" s="1315"/>
      <c r="BC42" s="1158"/>
      <c r="BI42" s="11">
        <v>34</v>
      </c>
    </row>
    <row r="43" spans="1:61" ht="14.7" customHeight="1">
      <c r="Q43" s="168"/>
      <c r="R43" s="28"/>
      <c r="S43" s="1307"/>
      <c r="T43" s="1255"/>
      <c r="U43" s="607"/>
      <c r="V43" s="1233"/>
      <c r="W43" s="1234"/>
      <c r="X43" s="1233"/>
      <c r="Y43" s="1234"/>
      <c r="Z43" s="1233"/>
      <c r="AA43" s="1337"/>
      <c r="AB43" s="1234"/>
      <c r="AC43" s="1312"/>
      <c r="AD43" s="1342"/>
      <c r="AE43" s="1343"/>
      <c r="AF43" s="1343"/>
      <c r="AG43" s="1355"/>
      <c r="AH43" s="1342"/>
      <c r="AI43" s="1343"/>
      <c r="AJ43" s="1343"/>
      <c r="AK43" s="1355"/>
      <c r="AL43" s="1342"/>
      <c r="AM43" s="1343"/>
      <c r="AN43" s="1343"/>
      <c r="AO43" s="1355"/>
      <c r="AP43" s="1342"/>
      <c r="AQ43" s="1343"/>
      <c r="AR43" s="1343"/>
      <c r="AS43" s="1355"/>
      <c r="AT43" s="1233"/>
      <c r="AU43" s="1234"/>
      <c r="AV43" s="1233"/>
      <c r="AW43" s="1234"/>
      <c r="AX43" s="1233"/>
      <c r="AY43" s="1337"/>
      <c r="AZ43" s="1234"/>
      <c r="BA43" s="1312"/>
      <c r="BB43" s="1315"/>
      <c r="BC43" s="1158"/>
      <c r="BI43" s="11">
        <v>14</v>
      </c>
    </row>
    <row r="44" spans="1:61" ht="14.7"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07"/>
      <c r="T44" s="1255"/>
      <c r="U44" s="173"/>
      <c r="V44" s="36" t="s">
        <v>479</v>
      </c>
      <c r="W44" s="36" t="s">
        <v>480</v>
      </c>
      <c r="X44" s="36" t="s">
        <v>479</v>
      </c>
      <c r="Y44" s="36" t="s">
        <v>480</v>
      </c>
      <c r="Z44" s="39" t="s">
        <v>448</v>
      </c>
      <c r="AA44" s="1260" t="s">
        <v>449</v>
      </c>
      <c r="AB44" s="1274"/>
      <c r="AC44" s="1313"/>
      <c r="AD44" s="1344"/>
      <c r="AE44" s="1345"/>
      <c r="AF44" s="1345"/>
      <c r="AG44" s="1346"/>
      <c r="AH44" s="1344"/>
      <c r="AI44" s="1345"/>
      <c r="AJ44" s="1345"/>
      <c r="AK44" s="1346"/>
      <c r="AL44" s="1344"/>
      <c r="AM44" s="1345"/>
      <c r="AN44" s="1345"/>
      <c r="AO44" s="1346"/>
      <c r="AP44" s="1344"/>
      <c r="AQ44" s="1345"/>
      <c r="AR44" s="1345"/>
      <c r="AS44" s="1346"/>
      <c r="AT44" s="36" t="s">
        <v>479</v>
      </c>
      <c r="AU44" s="36" t="s">
        <v>480</v>
      </c>
      <c r="AV44" s="36" t="s">
        <v>479</v>
      </c>
      <c r="AW44" s="36" t="s">
        <v>480</v>
      </c>
      <c r="AX44" s="39" t="s">
        <v>448</v>
      </c>
      <c r="AY44" s="1260" t="s">
        <v>449</v>
      </c>
      <c r="AZ44" s="1274"/>
      <c r="BA44" s="1313"/>
      <c r="BB44" s="1316"/>
      <c r="BC44" s="1158"/>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05">
        <f t="shared" ca="1" si="2"/>
        <v>8</v>
      </c>
      <c r="AB45" s="130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5">
        <f ca="1">OFFSET(AY45,0,-1)+1</f>
        <v>3</v>
      </c>
      <c r="AZ45" s="1305"/>
      <c r="BA45" s="727">
        <f ca="1">OFFSET(BA45,0,-2)+1</f>
        <v>4</v>
      </c>
      <c r="BB45" s="721">
        <f ca="1">OFFSET(BB45,0,-1)</f>
        <v>4</v>
      </c>
      <c r="BC45" s="727">
        <f ca="1">OFFSET(BC45,0,-1)+1</f>
        <v>5</v>
      </c>
      <c r="BD45" s="68"/>
      <c r="BE45" s="68"/>
      <c r="BF45" s="68"/>
      <c r="BG45" s="68"/>
      <c r="BH45" s="68"/>
      <c r="BI45" s="203">
        <v>0</v>
      </c>
    </row>
    <row r="46" spans="1:61" ht="22.05" customHeight="1">
      <c r="A46" s="769" t="s">
        <v>260</v>
      </c>
      <c r="B46" s="769"/>
      <c r="C46" s="769"/>
      <c r="D46" s="769"/>
      <c r="E46" s="129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89"/>
      <c r="W46" s="1289"/>
      <c r="X46" s="1289"/>
      <c r="Y46" s="1289"/>
      <c r="Z46" s="1289"/>
      <c r="AA46" s="1289"/>
      <c r="AB46" s="1289"/>
      <c r="AC46" s="1290"/>
      <c r="AD46" s="1288" t="str">
        <f>INDEX(PT_DIFFERENTIATION_NTAR,MATCH(A46,PT_DIFFERENTIATION_NTAR_ID,0))</f>
        <v/>
      </c>
      <c r="AE46" s="1289"/>
      <c r="AF46" s="1289"/>
      <c r="AG46" s="1289"/>
      <c r="AH46" s="1289"/>
      <c r="AI46" s="1289"/>
      <c r="AJ46" s="1289"/>
      <c r="AK46" s="1289"/>
      <c r="AL46" s="1289"/>
      <c r="AM46" s="1289"/>
      <c r="AN46" s="1289"/>
      <c r="AO46" s="1289"/>
      <c r="AP46" s="1289"/>
      <c r="AQ46" s="1289"/>
      <c r="AR46" s="1289"/>
      <c r="AS46" s="1289"/>
      <c r="AT46" s="1289"/>
      <c r="AU46" s="1289"/>
      <c r="AV46" s="1289"/>
      <c r="AW46" s="1289"/>
      <c r="AX46" s="1289"/>
      <c r="AY46" s="1289"/>
      <c r="AZ46" s="1289"/>
      <c r="BA46" s="1289"/>
      <c r="BB46" s="129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260</v>
      </c>
      <c r="B47" s="769" t="s">
        <v>261</v>
      </c>
      <c r="C47" s="769"/>
      <c r="D47" s="769"/>
      <c r="E47" s="1295"/>
      <c r="F47" s="1294">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9"/>
      <c r="W47" s="1289"/>
      <c r="X47" s="1289"/>
      <c r="Y47" s="1289"/>
      <c r="Z47" s="1289"/>
      <c r="AA47" s="1289"/>
      <c r="AB47" s="1289"/>
      <c r="AC47" s="1290"/>
      <c r="AD47" s="1288" t="str">
        <f>INDEX(PT_DIFFERENTIATION_TER,MATCH(B47,PT_DIFFERENTIATION_TER_ID,0))</f>
        <v/>
      </c>
      <c r="AE47" s="1289"/>
      <c r="AF47" s="1289"/>
      <c r="AG47" s="1289"/>
      <c r="AH47" s="1289"/>
      <c r="AI47" s="1289"/>
      <c r="AJ47" s="1289"/>
      <c r="AK47" s="1289"/>
      <c r="AL47" s="1289"/>
      <c r="AM47" s="1289"/>
      <c r="AN47" s="1289"/>
      <c r="AO47" s="1289"/>
      <c r="AP47" s="1289"/>
      <c r="AQ47" s="1289"/>
      <c r="AR47" s="1289"/>
      <c r="AS47" s="1289"/>
      <c r="AT47" s="1289"/>
      <c r="AU47" s="1289"/>
      <c r="AV47" s="1289"/>
      <c r="AW47" s="1289"/>
      <c r="AX47" s="1289"/>
      <c r="AY47" s="1289"/>
      <c r="AZ47" s="1289"/>
      <c r="BA47" s="1289"/>
      <c r="BB47" s="1290"/>
      <c r="BC47" s="729" t="s">
        <v>402</v>
      </c>
      <c r="BE47" s="69"/>
      <c r="BF47" s="69" t="str">
        <f t="shared" si="3"/>
        <v>Территория действия тарифа</v>
      </c>
      <c r="BG47" s="69"/>
      <c r="BH47" s="69"/>
      <c r="BI47" s="11">
        <v>21</v>
      </c>
    </row>
    <row r="48" spans="1:61" ht="35.700000000000003" customHeight="1">
      <c r="A48" s="769" t="s">
        <v>260</v>
      </c>
      <c r="B48" s="769" t="s">
        <v>261</v>
      </c>
      <c r="C48" s="769" t="s">
        <v>262</v>
      </c>
      <c r="D48" s="769"/>
      <c r="E48" s="1295"/>
      <c r="F48" s="1295"/>
      <c r="G48" s="1294">
        <v>1</v>
      </c>
      <c r="H48" s="769"/>
      <c r="I48" s="769"/>
      <c r="J48" s="769"/>
      <c r="K48" s="769"/>
      <c r="L48" s="770"/>
      <c r="M48" s="426"/>
      <c r="N48" s="426"/>
      <c r="O48" s="426"/>
      <c r="P48" s="131"/>
      <c r="Q48" s="802"/>
      <c r="R48" s="205"/>
      <c r="S48" s="709" t="str">
        <f>INDEX(PT_DIFFERENTIATION_NUM_CS,MATCH(C48,PT_DIFFERENTIATION_CS_ID,0))</f>
        <v>..</v>
      </c>
      <c r="T48" s="178" t="s">
        <v>533</v>
      </c>
      <c r="U48" s="171"/>
      <c r="V48" s="1289"/>
      <c r="W48" s="1289"/>
      <c r="X48" s="1289"/>
      <c r="Y48" s="1289"/>
      <c r="Z48" s="1289"/>
      <c r="AA48" s="1289"/>
      <c r="AB48" s="1289"/>
      <c r="AC48" s="1290"/>
      <c r="AD48" s="1288" t="str">
        <f>INDEX(PT_DIFFERENTIATION_CS,MATCH(C48,PT_DIFFERENTIATION_CS_ID,0))</f>
        <v/>
      </c>
      <c r="AE48" s="1289"/>
      <c r="AF48" s="1289"/>
      <c r="AG48" s="1289"/>
      <c r="AH48" s="1289"/>
      <c r="AI48" s="1289"/>
      <c r="AJ48" s="1289"/>
      <c r="AK48" s="1289"/>
      <c r="AL48" s="1289"/>
      <c r="AM48" s="1289"/>
      <c r="AN48" s="1289"/>
      <c r="AO48" s="1289"/>
      <c r="AP48" s="1289"/>
      <c r="AQ48" s="1289"/>
      <c r="AR48" s="1289"/>
      <c r="AS48" s="1289"/>
      <c r="AT48" s="1289"/>
      <c r="AU48" s="1289"/>
      <c r="AV48" s="1289"/>
      <c r="AW48" s="1289"/>
      <c r="AX48" s="1289"/>
      <c r="AY48" s="1289"/>
      <c r="AZ48" s="1289"/>
      <c r="BA48" s="1289"/>
      <c r="BB48" s="1290"/>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547</v>
      </c>
      <c r="E49" s="1295"/>
      <c r="F49" s="1295"/>
      <c r="G49" s="1295"/>
      <c r="H49" s="1294">
        <v>1</v>
      </c>
      <c r="I49" s="145"/>
      <c r="J49" s="145"/>
      <c r="K49" s="145"/>
      <c r="L49" s="346"/>
      <c r="M49" s="293"/>
      <c r="N49" s="293"/>
      <c r="O49" s="293"/>
      <c r="P49" s="820"/>
      <c r="Q49" s="821"/>
      <c r="R49" s="209"/>
      <c r="S49" s="362"/>
      <c r="T49" s="822"/>
      <c r="U49" s="780"/>
      <c r="V49" s="1326"/>
      <c r="W49" s="1326"/>
      <c r="X49" s="1326"/>
      <c r="Y49" s="1326"/>
      <c r="Z49" s="1326"/>
      <c r="AA49" s="1326"/>
      <c r="AB49" s="1326"/>
      <c r="AC49" s="1327"/>
      <c r="AD49" s="1325"/>
      <c r="AE49" s="1326"/>
      <c r="AF49" s="1326"/>
      <c r="AG49" s="1326"/>
      <c r="AH49" s="1326"/>
      <c r="AI49" s="1326"/>
      <c r="AJ49" s="1326"/>
      <c r="AK49" s="1326"/>
      <c r="AL49" s="1326"/>
      <c r="AM49" s="1326"/>
      <c r="AN49" s="1326"/>
      <c r="AO49" s="1326"/>
      <c r="AP49" s="1326"/>
      <c r="AQ49" s="1326"/>
      <c r="AR49" s="1326"/>
      <c r="AS49" s="1326"/>
      <c r="AT49" s="1326"/>
      <c r="AU49" s="1326"/>
      <c r="AV49" s="1326"/>
      <c r="AW49" s="1326"/>
      <c r="AX49" s="1326"/>
      <c r="AY49" s="1326"/>
      <c r="AZ49" s="1326"/>
      <c r="BA49" s="1326"/>
      <c r="BB49" s="1327"/>
      <c r="BC49" s="781" t="s">
        <v>406</v>
      </c>
      <c r="BE49" s="69"/>
      <c r="BF49" s="69" t="str">
        <f t="shared" si="3"/>
        <v/>
      </c>
      <c r="BG49" s="69"/>
      <c r="BH49" s="69"/>
      <c r="BI49" s="68">
        <v>0</v>
      </c>
    </row>
    <row r="50" spans="1:61" s="68" customFormat="1" ht="0" hidden="1" customHeight="1">
      <c r="A50" s="145" t="s">
        <v>260</v>
      </c>
      <c r="B50" s="145" t="s">
        <v>261</v>
      </c>
      <c r="C50" s="145" t="s">
        <v>262</v>
      </c>
      <c r="D50" s="145" t="s">
        <v>547</v>
      </c>
      <c r="E50" s="1295"/>
      <c r="F50" s="1295"/>
      <c r="G50" s="1295"/>
      <c r="H50" s="1295"/>
      <c r="I50" s="1296" t="str">
        <f>S49&amp;".1"</f>
        <v>.1</v>
      </c>
      <c r="J50" s="145"/>
      <c r="K50" s="145"/>
      <c r="L50" s="346" t="s">
        <v>407</v>
      </c>
      <c r="M50" s="290"/>
      <c r="N50" s="290"/>
      <c r="O50" s="290"/>
      <c r="P50" s="1298">
        <v>1</v>
      </c>
      <c r="Q50" s="122"/>
      <c r="R50" s="208"/>
      <c r="S50" s="362"/>
      <c r="T50" s="779"/>
      <c r="U50" s="780"/>
      <c r="V50" s="1326"/>
      <c r="W50" s="1326"/>
      <c r="X50" s="1326"/>
      <c r="Y50" s="1326"/>
      <c r="Z50" s="1326"/>
      <c r="AA50" s="1326"/>
      <c r="AB50" s="1326"/>
      <c r="AC50" s="1327"/>
      <c r="AD50" s="1325"/>
      <c r="AE50" s="1326"/>
      <c r="AF50" s="1326"/>
      <c r="AG50" s="1326"/>
      <c r="AH50" s="1326"/>
      <c r="AI50" s="1326"/>
      <c r="AJ50" s="1326"/>
      <c r="AK50" s="1326"/>
      <c r="AL50" s="1326"/>
      <c r="AM50" s="1326"/>
      <c r="AN50" s="1326"/>
      <c r="AO50" s="1326"/>
      <c r="AP50" s="1326"/>
      <c r="AQ50" s="1326"/>
      <c r="AR50" s="1326"/>
      <c r="AS50" s="1326"/>
      <c r="AT50" s="1326"/>
      <c r="AU50" s="1326"/>
      <c r="AV50" s="1326"/>
      <c r="AW50" s="1326"/>
      <c r="AX50" s="1326"/>
      <c r="AY50" s="1326"/>
      <c r="AZ50" s="1326"/>
      <c r="BA50" s="1326"/>
      <c r="BB50" s="1327"/>
      <c r="BC50" s="781"/>
      <c r="BE50" s="69"/>
      <c r="BF50" s="69" t="str">
        <f t="shared" si="3"/>
        <v/>
      </c>
      <c r="BG50" s="69"/>
      <c r="BH50" s="69"/>
      <c r="BI50" s="68">
        <v>0</v>
      </c>
    </row>
    <row r="51" spans="1:61" s="68" customFormat="1" ht="0" hidden="1" customHeight="1">
      <c r="A51" s="145" t="s">
        <v>260</v>
      </c>
      <c r="B51" s="145" t="s">
        <v>261</v>
      </c>
      <c r="C51" s="145" t="s">
        <v>262</v>
      </c>
      <c r="D51" s="145" t="s">
        <v>547</v>
      </c>
      <c r="E51" s="1295"/>
      <c r="F51" s="1295"/>
      <c r="G51" s="1295"/>
      <c r="H51" s="1295"/>
      <c r="I51" s="1297"/>
      <c r="J51" s="1296" t="str">
        <f>S49&amp;".1"</f>
        <v>.1</v>
      </c>
      <c r="K51" s="145"/>
      <c r="L51" s="346"/>
      <c r="M51" s="290"/>
      <c r="N51" s="290"/>
      <c r="O51" s="290"/>
      <c r="P51" s="1298"/>
      <c r="Q51" s="1298">
        <v>1</v>
      </c>
      <c r="R51" s="209"/>
      <c r="S51" s="362"/>
      <c r="T51" s="794"/>
      <c r="U51" s="780"/>
      <c r="V51" s="1326"/>
      <c r="W51" s="1326"/>
      <c r="X51" s="1326"/>
      <c r="Y51" s="1326"/>
      <c r="Z51" s="1326"/>
      <c r="AA51" s="1326"/>
      <c r="AB51" s="1326"/>
      <c r="AC51" s="1327"/>
      <c r="AD51" s="1325"/>
      <c r="AE51" s="1326"/>
      <c r="AF51" s="1326"/>
      <c r="AG51" s="1326"/>
      <c r="AH51" s="1326"/>
      <c r="AI51" s="1326"/>
      <c r="AJ51" s="1326"/>
      <c r="AK51" s="1326"/>
      <c r="AL51" s="1326"/>
      <c r="AM51" s="1326"/>
      <c r="AN51" s="1377"/>
      <c r="AO51" s="1377"/>
      <c r="AP51" s="1326"/>
      <c r="AQ51" s="1326"/>
      <c r="AR51" s="1326"/>
      <c r="AS51" s="1326"/>
      <c r="AT51" s="1326"/>
      <c r="AU51" s="1326"/>
      <c r="AV51" s="1326"/>
      <c r="AW51" s="1326"/>
      <c r="AX51" s="1326"/>
      <c r="AY51" s="1326"/>
      <c r="AZ51" s="1326"/>
      <c r="BA51" s="1326"/>
      <c r="BB51" s="1327"/>
      <c r="BC51" s="781"/>
      <c r="BE51" s="69"/>
      <c r="BF51" s="69" t="str">
        <f t="shared" si="3"/>
        <v/>
      </c>
      <c r="BG51" s="69"/>
      <c r="BH51" s="69"/>
      <c r="BI51" s="68">
        <v>0</v>
      </c>
    </row>
    <row r="52" spans="1:61" ht="11.55" customHeight="1">
      <c r="A52" s="769" t="s">
        <v>260</v>
      </c>
      <c r="B52" s="769" t="s">
        <v>261</v>
      </c>
      <c r="C52" s="769" t="s">
        <v>262</v>
      </c>
      <c r="D52" s="769" t="s">
        <v>547</v>
      </c>
      <c r="E52" s="1295"/>
      <c r="F52" s="1295"/>
      <c r="G52" s="1295"/>
      <c r="H52" s="1295"/>
      <c r="I52" s="1297"/>
      <c r="J52" s="1297"/>
      <c r="K52" s="1296" t="str">
        <f>S48&amp;".1"</f>
        <v>...1</v>
      </c>
      <c r="L52" s="770"/>
      <c r="P52" s="1298"/>
      <c r="Q52" s="1298"/>
      <c r="R52" s="209">
        <v>1</v>
      </c>
      <c r="S52" s="1351" t="str">
        <f>$K52</f>
        <v>...1</v>
      </c>
      <c r="T52" s="1371"/>
      <c r="U52" s="171"/>
      <c r="V52" s="306"/>
      <c r="W52" s="728"/>
      <c r="X52" s="306"/>
      <c r="Y52" s="728"/>
      <c r="Z52" s="943"/>
      <c r="AA52" s="297" t="s">
        <v>67</v>
      </c>
      <c r="AB52" s="943"/>
      <c r="AC52" s="297" t="s">
        <v>67</v>
      </c>
      <c r="AD52" s="1224" t="s">
        <v>67</v>
      </c>
      <c r="AE52" s="1347"/>
      <c r="AF52" s="1251">
        <v>1</v>
      </c>
      <c r="AG52" s="1370"/>
      <c r="AH52" s="1168" t="s">
        <v>67</v>
      </c>
      <c r="AI52" s="1347"/>
      <c r="AJ52" s="1251">
        <v>1</v>
      </c>
      <c r="AK52" s="1361" t="s">
        <v>28</v>
      </c>
      <c r="AL52" s="1168" t="s">
        <v>67</v>
      </c>
      <c r="AM52" s="1228"/>
      <c r="AN52" s="1251">
        <v>1</v>
      </c>
      <c r="AO52" s="1374"/>
      <c r="AP52" s="1375" t="s">
        <v>67</v>
      </c>
      <c r="AQ52" s="180"/>
      <c r="AR52" s="268">
        <v>1</v>
      </c>
      <c r="AS52" s="119" t="s">
        <v>28</v>
      </c>
      <c r="AT52" s="306"/>
      <c r="AU52" s="728"/>
      <c r="AV52" s="306"/>
      <c r="AW52" s="728"/>
      <c r="AX52" s="943"/>
      <c r="AY52" s="297" t="s">
        <v>67</v>
      </c>
      <c r="AZ52" s="943"/>
      <c r="BA52" s="297" t="s">
        <v>67</v>
      </c>
      <c r="BB52" s="766"/>
      <c r="BC52" s="1317" t="s">
        <v>502</v>
      </c>
      <c r="BE52" s="69"/>
      <c r="BF52" s="69" t="str">
        <f t="shared" si="3"/>
        <v/>
      </c>
      <c r="BG52" s="69"/>
      <c r="BH52" s="69"/>
      <c r="BI52" s="11">
        <v>11</v>
      </c>
    </row>
    <row r="53" spans="1:61" ht="11.55" customHeight="1">
      <c r="A53" s="769"/>
      <c r="B53" s="769"/>
      <c r="C53" s="769"/>
      <c r="D53" s="769"/>
      <c r="E53" s="1295"/>
      <c r="F53" s="1295"/>
      <c r="G53" s="1295"/>
      <c r="H53" s="1295"/>
      <c r="I53" s="1297"/>
      <c r="J53" s="1297"/>
      <c r="K53" s="1296"/>
      <c r="L53" s="770"/>
      <c r="P53" s="1298"/>
      <c r="Q53" s="1298"/>
      <c r="R53" s="209"/>
      <c r="S53" s="1352"/>
      <c r="T53" s="1372"/>
      <c r="U53" s="171"/>
      <c r="V53" s="789"/>
      <c r="W53" s="819"/>
      <c r="X53" s="789"/>
      <c r="Y53" s="819"/>
      <c r="Z53" s="789"/>
      <c r="AA53" s="789"/>
      <c r="AB53" s="789"/>
      <c r="AC53" s="789"/>
      <c r="AD53" s="1225"/>
      <c r="AE53" s="1347"/>
      <c r="AF53" s="1251"/>
      <c r="AG53" s="1370"/>
      <c r="AH53" s="1168"/>
      <c r="AI53" s="1347"/>
      <c r="AJ53" s="1251"/>
      <c r="AK53" s="1361"/>
      <c r="AL53" s="1168"/>
      <c r="AM53" s="1233"/>
      <c r="AN53" s="1251"/>
      <c r="AO53" s="1374"/>
      <c r="AP53" s="1376"/>
      <c r="AQ53" s="184"/>
      <c r="AR53" s="52"/>
      <c r="AS53" s="52" t="s">
        <v>503</v>
      </c>
      <c r="AT53" s="789"/>
      <c r="AU53" s="819"/>
      <c r="AV53" s="789"/>
      <c r="AW53" s="819"/>
      <c r="AX53" s="789"/>
      <c r="AY53" s="789"/>
      <c r="AZ53" s="789"/>
      <c r="BA53" s="789"/>
      <c r="BB53" s="793"/>
      <c r="BC53" s="1318"/>
      <c r="BE53" s="69"/>
      <c r="BF53" s="69"/>
      <c r="BG53" s="69"/>
      <c r="BH53" s="69"/>
      <c r="BI53" s="11">
        <v>11</v>
      </c>
    </row>
    <row r="54" spans="1:61" ht="11.55" customHeight="1">
      <c r="A54" s="769" t="s">
        <v>260</v>
      </c>
      <c r="B54" s="769"/>
      <c r="C54" s="769"/>
      <c r="D54" s="769"/>
      <c r="E54" s="1295"/>
      <c r="F54" s="1295"/>
      <c r="G54" s="1295"/>
      <c r="H54" s="1295"/>
      <c r="I54" s="1297"/>
      <c r="J54" s="1297"/>
      <c r="K54" s="1296"/>
      <c r="L54" s="770"/>
      <c r="P54" s="1298"/>
      <c r="Q54" s="1298"/>
      <c r="R54" s="209"/>
      <c r="S54" s="1352"/>
      <c r="T54" s="1372"/>
      <c r="U54" s="171"/>
      <c r="V54" s="789"/>
      <c r="W54" s="819"/>
      <c r="X54" s="789"/>
      <c r="Y54" s="819"/>
      <c r="Z54" s="789"/>
      <c r="AA54" s="789"/>
      <c r="AB54" s="789"/>
      <c r="AC54" s="789"/>
      <c r="AD54" s="1225"/>
      <c r="AE54" s="1347"/>
      <c r="AF54" s="1251"/>
      <c r="AG54" s="1370"/>
      <c r="AH54" s="1168"/>
      <c r="AI54" s="1347"/>
      <c r="AJ54" s="1251"/>
      <c r="AK54" s="1361"/>
      <c r="AL54" s="1168"/>
      <c r="AM54" s="184"/>
      <c r="AN54" s="823"/>
      <c r="AO54" s="823" t="s">
        <v>504</v>
      </c>
      <c r="AP54" s="52"/>
      <c r="AQ54" s="52"/>
      <c r="AR54" s="52"/>
      <c r="AS54" s="789"/>
      <c r="AT54" s="789"/>
      <c r="AU54" s="819"/>
      <c r="AV54" s="789"/>
      <c r="AW54" s="819"/>
      <c r="AX54" s="789"/>
      <c r="AY54" s="789"/>
      <c r="AZ54" s="789"/>
      <c r="BA54" s="789"/>
      <c r="BB54" s="793"/>
      <c r="BC54" s="1318"/>
      <c r="BE54" s="69"/>
      <c r="BF54" s="69"/>
      <c r="BG54" s="69"/>
      <c r="BH54" s="69"/>
      <c r="BI54" s="11">
        <v>11</v>
      </c>
    </row>
    <row r="55" spans="1:61" ht="11.55" customHeight="1">
      <c r="A55" s="769" t="s">
        <v>260</v>
      </c>
      <c r="B55" s="769"/>
      <c r="C55" s="769"/>
      <c r="D55" s="769"/>
      <c r="E55" s="1295"/>
      <c r="F55" s="1295"/>
      <c r="G55" s="1295"/>
      <c r="H55" s="1295"/>
      <c r="I55" s="1297"/>
      <c r="J55" s="1297"/>
      <c r="K55" s="1296"/>
      <c r="L55" s="770"/>
      <c r="P55" s="1298"/>
      <c r="Q55" s="1298"/>
      <c r="R55" s="209"/>
      <c r="S55" s="1352"/>
      <c r="T55" s="1372"/>
      <c r="U55" s="171"/>
      <c r="V55" s="789"/>
      <c r="W55" s="819"/>
      <c r="X55" s="789"/>
      <c r="Y55" s="819"/>
      <c r="Z55" s="789"/>
      <c r="AA55" s="789"/>
      <c r="AB55" s="789"/>
      <c r="AC55" s="789"/>
      <c r="AD55" s="1225"/>
      <c r="AE55" s="1347"/>
      <c r="AF55" s="1251"/>
      <c r="AG55" s="1370"/>
      <c r="AH55" s="1168"/>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18"/>
      <c r="BE55" s="69"/>
      <c r="BF55" s="69"/>
      <c r="BG55" s="69"/>
      <c r="BH55" s="69"/>
      <c r="BI55" s="11">
        <v>11</v>
      </c>
    </row>
    <row r="56" spans="1:61" ht="11.55" customHeight="1">
      <c r="A56" s="769" t="s">
        <v>260</v>
      </c>
      <c r="B56" s="769" t="s">
        <v>261</v>
      </c>
      <c r="C56" s="769" t="s">
        <v>262</v>
      </c>
      <c r="D56" s="769" t="s">
        <v>547</v>
      </c>
      <c r="E56" s="1295"/>
      <c r="F56" s="1295"/>
      <c r="G56" s="1295"/>
      <c r="H56" s="1295"/>
      <c r="I56" s="1297"/>
      <c r="J56" s="1297"/>
      <c r="K56" s="1296"/>
      <c r="L56" s="770"/>
      <c r="P56" s="1298"/>
      <c r="Q56" s="1298"/>
      <c r="R56" s="209"/>
      <c r="S56" s="1353"/>
      <c r="T56" s="1373"/>
      <c r="U56" s="171"/>
      <c r="V56" s="789"/>
      <c r="W56" s="790" t="str">
        <f>Z52&amp;"-"&amp;AB52</f>
        <v>-</v>
      </c>
      <c r="X56" s="789"/>
      <c r="Y56" s="790" t="str">
        <f>AB52&amp;"-"&amp;AD52</f>
        <v>-да</v>
      </c>
      <c r="Z56" s="789"/>
      <c r="AA56" s="789"/>
      <c r="AB56" s="789"/>
      <c r="AC56" s="789"/>
      <c r="AD56" s="1173"/>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8"/>
      <c r="BE56" s="69"/>
      <c r="BF56" s="69" t="str">
        <f t="shared" ref="BF56:BF63" si="4">IF(T56="","",T56)</f>
        <v/>
      </c>
      <c r="BG56" s="69"/>
      <c r="BH56" s="69"/>
      <c r="BI56" s="11">
        <v>11</v>
      </c>
    </row>
    <row r="57" spans="1:61" ht="11.55" customHeight="1">
      <c r="A57" s="769" t="s">
        <v>260</v>
      </c>
      <c r="B57" s="769" t="s">
        <v>261</v>
      </c>
      <c r="C57" s="769" t="s">
        <v>262</v>
      </c>
      <c r="D57" s="769" t="s">
        <v>547</v>
      </c>
      <c r="E57" s="1295"/>
      <c r="F57" s="1295"/>
      <c r="G57" s="1295"/>
      <c r="H57" s="1295"/>
      <c r="I57" s="1297"/>
      <c r="J57" s="1296"/>
      <c r="K57" s="769"/>
      <c r="L57" s="770"/>
      <c r="P57" s="1298"/>
      <c r="Q57" s="129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9"/>
      <c r="BE57" s="69"/>
      <c r="BF57" s="69" t="str">
        <f t="shared" si="4"/>
        <v>Добавить строку</v>
      </c>
      <c r="BG57" s="69"/>
      <c r="BH57" s="69"/>
      <c r="BI57" s="11">
        <v>11</v>
      </c>
    </row>
    <row r="58" spans="1:61" s="68" customFormat="1" ht="0" hidden="1" customHeight="1">
      <c r="A58" s="145" t="s">
        <v>260</v>
      </c>
      <c r="B58" s="145" t="s">
        <v>261</v>
      </c>
      <c r="C58" s="145" t="s">
        <v>262</v>
      </c>
      <c r="D58" s="145" t="s">
        <v>547</v>
      </c>
      <c r="E58" s="1295"/>
      <c r="F58" s="1295"/>
      <c r="G58" s="1295"/>
      <c r="H58" s="1295"/>
      <c r="I58" s="1296"/>
      <c r="J58" s="145"/>
      <c r="K58" s="145"/>
      <c r="L58" s="346"/>
      <c r="M58" s="290"/>
      <c r="N58" s="290"/>
      <c r="O58" s="290"/>
      <c r="P58" s="129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547</v>
      </c>
      <c r="E59" s="1295"/>
      <c r="F59" s="1295"/>
      <c r="G59" s="1295"/>
      <c r="H59" s="129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95"/>
      <c r="F60" s="1295"/>
      <c r="G60" s="129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95"/>
      <c r="F61" s="1294"/>
      <c r="G61" s="145"/>
      <c r="H61" s="145"/>
      <c r="I61" s="145"/>
      <c r="J61" s="145"/>
      <c r="K61" s="145"/>
      <c r="L61" s="346"/>
      <c r="M61" s="759"/>
      <c r="N61" s="759"/>
      <c r="P61" s="104"/>
      <c r="Q61" s="755"/>
      <c r="R61" s="104"/>
      <c r="S61" s="760"/>
      <c r="T61" s="762" t="s">
        <v>275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94"/>
      <c r="F62" s="145"/>
      <c r="G62" s="145"/>
      <c r="H62" s="145"/>
      <c r="I62" s="145"/>
      <c r="J62" s="145"/>
      <c r="K62" s="145"/>
      <c r="L62" s="346"/>
      <c r="M62" s="759"/>
      <c r="N62" s="759"/>
      <c r="P62" s="104"/>
      <c r="Q62" s="755"/>
      <c r="R62" s="104"/>
      <c r="S62" s="760"/>
      <c r="T62" s="762" t="s">
        <v>276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19.95" customHeight="1">
      <c r="O65" s="63"/>
      <c r="S65" s="198"/>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3"/>
      <c r="AR65" s="1293"/>
      <c r="AS65" s="1293"/>
      <c r="AT65" s="1293"/>
      <c r="AU65" s="1293"/>
      <c r="AV65" s="1293"/>
      <c r="AW65" s="1293"/>
      <c r="AX65" s="1293"/>
      <c r="AY65" s="1293"/>
      <c r="AZ65" s="1293"/>
      <c r="BA65" s="1293"/>
      <c r="BB65" s="1293"/>
      <c r="BC65" s="1293"/>
      <c r="BI65" s="11">
        <v>19</v>
      </c>
    </row>
    <row r="66" spans="1:61" ht="14.7"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95" customHeight="1">
      <c r="O67" s="63"/>
      <c r="S67" s="198"/>
      <c r="T67" s="1293"/>
      <c r="U67" s="1293"/>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R67" s="1293"/>
      <c r="AS67" s="1293"/>
      <c r="AT67" s="1293"/>
      <c r="AU67" s="1293"/>
      <c r="AV67" s="1293"/>
      <c r="AW67" s="1293"/>
      <c r="AX67" s="1293"/>
      <c r="AY67" s="1293"/>
      <c r="AZ67" s="1293"/>
      <c r="BA67" s="1293"/>
      <c r="BB67" s="1293"/>
      <c r="BC67" s="1293"/>
      <c r="BI67" s="11">
        <v>19</v>
      </c>
    </row>
    <row r="68" spans="1:61" ht="14.7"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572" hidden="1" customWidth="1"/>
    <col min="2" max="2" width="16.875" style="63" hidden="1" customWidth="1"/>
    <col min="3" max="3" width="5.625" style="68" hidden="1" customWidth="1"/>
    <col min="4" max="4" width="3" style="11" customWidth="1"/>
    <col min="5" max="5" width="7" style="11" customWidth="1"/>
    <col min="6" max="6" width="54" style="11" customWidth="1"/>
    <col min="7" max="7" width="10" style="11" customWidth="1"/>
    <col min="8" max="8" width="40.75" style="11" hidden="1" customWidth="1"/>
    <col min="9" max="9" width="40.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25" style="11" hidden="1"/>
  </cols>
  <sheetData>
    <row r="1" spans="1:32" ht="22.5" hidden="1" customHeight="1">
      <c r="AF1" s="11" t="s">
        <v>14</v>
      </c>
    </row>
    <row r="2" spans="1:32" ht="23.25" hidden="1" customHeight="1">
      <c r="B2" s="1143"/>
      <c r="C2" s="313" t="s">
        <v>548</v>
      </c>
      <c r="D2" s="55"/>
      <c r="E2" s="311">
        <f>B2</f>
        <v>0</v>
      </c>
      <c r="F2" s="312"/>
      <c r="G2" s="41" t="s">
        <v>549</v>
      </c>
      <c r="H2" s="41" t="s">
        <v>549</v>
      </c>
      <c r="I2" s="41" t="s">
        <v>549</v>
      </c>
      <c r="J2" s="67" t="s">
        <v>550</v>
      </c>
      <c r="K2" s="308"/>
      <c r="AF2" s="11">
        <v>0</v>
      </c>
    </row>
    <row r="3" spans="1:32" s="68" customFormat="1" ht="0.75" hidden="1" customHeight="1">
      <c r="B3" s="1143"/>
      <c r="C3" s="313"/>
      <c r="D3" s="313"/>
      <c r="E3" s="314"/>
      <c r="F3" s="315" t="s">
        <v>551</v>
      </c>
      <c r="G3" s="316"/>
      <c r="H3" s="316">
        <f>H4*H5+H7</f>
        <v>0</v>
      </c>
      <c r="I3" s="316">
        <f>I4*I5+I6</f>
        <v>0</v>
      </c>
      <c r="J3" s="317"/>
      <c r="AF3" s="68">
        <v>0</v>
      </c>
    </row>
    <row r="4" spans="1:32" ht="23.25" hidden="1" customHeight="1">
      <c r="B4" s="1143"/>
      <c r="C4" s="313"/>
      <c r="D4" s="55"/>
      <c r="E4" s="311" t="str">
        <f>B2&amp;".1"</f>
        <v>.1</v>
      </c>
      <c r="F4" s="318" t="s">
        <v>552</v>
      </c>
      <c r="G4" s="319"/>
      <c r="H4" s="306"/>
      <c r="I4" s="306"/>
      <c r="J4" s="67" t="s">
        <v>553</v>
      </c>
      <c r="K4" s="308"/>
      <c r="AF4" s="11">
        <v>0</v>
      </c>
    </row>
    <row r="5" spans="1:32" ht="18.75" hidden="1" customHeight="1">
      <c r="B5" s="1143"/>
      <c r="C5" s="313"/>
      <c r="D5" s="55"/>
      <c r="E5" s="311" t="str">
        <f>B2&amp;".2"</f>
        <v>.2</v>
      </c>
      <c r="F5" s="318" t="s">
        <v>554</v>
      </c>
      <c r="G5" s="41" t="s">
        <v>555</v>
      </c>
      <c r="H5" s="306"/>
      <c r="I5" s="306"/>
      <c r="J5" s="67"/>
      <c r="K5" s="308"/>
      <c r="AF5" s="11">
        <v>0</v>
      </c>
    </row>
    <row r="6" spans="1:32" ht="18.75" hidden="1" customHeight="1">
      <c r="B6" s="1143"/>
      <c r="C6" s="313"/>
      <c r="D6" s="55"/>
      <c r="E6" s="311" t="str">
        <f>B2&amp;".3"</f>
        <v>.3</v>
      </c>
      <c r="F6" s="318" t="s">
        <v>556</v>
      </c>
      <c r="G6" s="41" t="s">
        <v>555</v>
      </c>
      <c r="H6" s="306"/>
      <c r="I6" s="306"/>
      <c r="J6" s="67"/>
      <c r="K6" s="308"/>
      <c r="AF6" s="11">
        <v>0</v>
      </c>
    </row>
    <row r="7" spans="1:32" ht="18.75" hidden="1" customHeight="1">
      <c r="B7" s="1143"/>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55" customHeight="1">
      <c r="AF20" s="11">
        <v>11</v>
      </c>
    </row>
    <row r="21" spans="1:32" ht="25.2" customHeight="1">
      <c r="E21" s="127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75"/>
      <c r="G21" s="1275"/>
      <c r="H21" s="1275"/>
      <c r="I21" s="1275"/>
      <c r="J21" s="59"/>
      <c r="AF21" s="11">
        <v>24</v>
      </c>
    </row>
    <row r="22" spans="1:32" ht="25.2" customHeight="1">
      <c r="E22" s="1247" t="str">
        <f>IF(org=0,"Не определено",org)</f>
        <v>АО "Юграавиа"</v>
      </c>
      <c r="F22" s="1247"/>
      <c r="G22" s="1247"/>
      <c r="H22" s="1247"/>
      <c r="I22" s="1247"/>
      <c r="AF22" s="11">
        <v>24</v>
      </c>
    </row>
    <row r="23" spans="1:32" ht="11.55" customHeight="1">
      <c r="E23" s="668"/>
      <c r="F23" s="668"/>
      <c r="G23" s="668"/>
      <c r="H23" s="668"/>
      <c r="I23" s="668"/>
      <c r="AF23" s="11">
        <v>11</v>
      </c>
    </row>
    <row r="24" spans="1:32" s="68" customFormat="1" ht="1.05" customHeight="1">
      <c r="A24" s="313"/>
      <c r="H24" s="514"/>
      <c r="I24" s="514" t="s">
        <v>118</v>
      </c>
      <c r="AF24" s="68">
        <v>1</v>
      </c>
    </row>
    <row r="25" spans="1:32" ht="11.55" customHeight="1">
      <c r="E25" s="409"/>
      <c r="F25" s="1404" t="s">
        <v>106</v>
      </c>
      <c r="G25" s="1405"/>
      <c r="H25" s="858" t="str">
        <f>IF(H24="","",INDEX(DIFFERENTIATION_UNMERGE_VD,MATCH(H24,DIFFERENTIATION_ID_DIFF,0)))</f>
        <v/>
      </c>
      <c r="I25" s="858">
        <f>IF(I24="","",INDEX(DIFFERENTIATION_UNMERGE_VD,MATCH(I24,DIFFERENTIATION_ID_DIFF,0)))</f>
        <v>0</v>
      </c>
      <c r="J25" s="1158"/>
      <c r="AF25" s="11">
        <v>11</v>
      </c>
    </row>
    <row r="26" spans="1:32" ht="11.55" customHeight="1">
      <c r="E26" s="409"/>
      <c r="F26" s="1404" t="s">
        <v>567</v>
      </c>
      <c r="G26" s="1405"/>
      <c r="H26" s="858" t="str">
        <f>IF(H24="","",INDEX(DIFFERENTIATION_UNMERGE_AREA,MATCH(H24,DIFFERENTIATION_ID_DIFF,0)))</f>
        <v/>
      </c>
      <c r="I26" s="858" t="str">
        <f>IF(I24="","",INDEX(DIFFERENTIATION_UNMERGE_AREA,MATCH(I24,DIFFERENTIATION_ID_DIFF,0)))</f>
        <v/>
      </c>
      <c r="J26" s="1158"/>
      <c r="AF26" s="11">
        <v>11</v>
      </c>
    </row>
    <row r="27" spans="1:32" ht="11.55" customHeight="1">
      <c r="E27" s="409"/>
      <c r="F27" s="1404" t="s">
        <v>568</v>
      </c>
      <c r="G27" s="1405"/>
      <c r="H27" s="858" t="str">
        <f>IF(H24="","",INDEX(DIFFERENTIATION_UNMERGE_SYSTEM,MATCH(H24,DIFFERENTIATION_ID_DIFF,0)))</f>
        <v/>
      </c>
      <c r="I27" s="858" t="str">
        <f>IF(I24="","",INDEX(DIFFERENTIATION_UNMERGE_SYSTEM,MATCH(I24,DIFFERENTIATION_ID_DIFF,0)))</f>
        <v>без дифференциации</v>
      </c>
      <c r="J27" s="1158"/>
      <c r="AF27" s="11">
        <v>11</v>
      </c>
    </row>
    <row r="28" spans="1:32" ht="11.55" customHeight="1">
      <c r="E28" s="1406" t="s">
        <v>304</v>
      </c>
      <c r="F28" s="1407"/>
      <c r="G28" s="1407"/>
      <c r="H28" s="512"/>
      <c r="I28" s="512"/>
      <c r="J28" s="1158"/>
      <c r="AF28" s="11">
        <v>11</v>
      </c>
    </row>
    <row r="29" spans="1:32" ht="24" customHeight="1">
      <c r="E29" s="41" t="s">
        <v>89</v>
      </c>
      <c r="F29" s="41" t="s">
        <v>306</v>
      </c>
      <c r="G29" s="41" t="s">
        <v>569</v>
      </c>
      <c r="H29" s="41" t="s">
        <v>307</v>
      </c>
      <c r="I29" s="41" t="s">
        <v>307</v>
      </c>
      <c r="J29" s="1158"/>
      <c r="AF29" s="11">
        <v>23</v>
      </c>
    </row>
    <row r="30" spans="1:32" ht="19.95" customHeight="1">
      <c r="D30" s="55"/>
      <c r="E30" s="311">
        <f>FHD_NUM_P_1</f>
        <v>1</v>
      </c>
      <c r="F30" s="153" t="str">
        <f>FHD_P_1</f>
        <v>Выручка от регулируемых видов деятельности в сфере водоотведения</v>
      </c>
      <c r="G30" s="41" t="s">
        <v>555</v>
      </c>
      <c r="H30" s="321"/>
      <c r="I30" s="321"/>
      <c r="J30" s="67" t="str">
        <f>FHD_NOTE_P_1</f>
        <v>Указывается выручка с распределением по видам деятельности.</v>
      </c>
      <c r="K30" s="308"/>
      <c r="AF30" s="11">
        <v>19</v>
      </c>
    </row>
    <row r="31" spans="1:32" ht="11.5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5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555</v>
      </c>
      <c r="H32" s="321"/>
      <c r="I32" s="321"/>
      <c r="J32" s="67" t="str">
        <f>FHD_NOTE_P_3</f>
        <v/>
      </c>
      <c r="K32" s="68" t="str">
        <f t="shared" ref="K32:K70" si="0">IF((LEN(E32)-LEN(SUBSTITUTE(E32,".","")))/LEN(".")=1,"p","")</f>
        <v>p</v>
      </c>
      <c r="AF32" s="11">
        <v>11</v>
      </c>
    </row>
    <row r="33" spans="1:32" ht="11.25" hidden="1" customHeight="1">
      <c r="A33" s="1402" t="s">
        <v>571</v>
      </c>
      <c r="D33" s="55"/>
      <c r="E33" s="311" t="str">
        <f>FHD_NUM_P_4</f>
        <v/>
      </c>
      <c r="F33" s="323" t="str">
        <f>FHD_P_4</f>
        <v/>
      </c>
      <c r="G33" s="41" t="s">
        <v>555</v>
      </c>
      <c r="H33" s="322">
        <f>SUMIF($F34:$F40,$F3,H34:H40)</f>
        <v>0</v>
      </c>
      <c r="I33" s="322">
        <f>SUMIF($F34:$F40,$F3,I34:I40)</f>
        <v>0</v>
      </c>
      <c r="J33" s="67" t="str">
        <f>FHD_NOTE_P_4</f>
        <v/>
      </c>
      <c r="K33" s="68" t="str">
        <f t="shared" si="0"/>
        <v/>
      </c>
      <c r="AF33" s="11">
        <v>0</v>
      </c>
    </row>
    <row r="34" spans="1:32" s="203" customFormat="1" ht="0.75" hidden="1" customHeight="1">
      <c r="A34" s="1402"/>
      <c r="B34" s="1403"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402"/>
      <c r="B35" s="1403"/>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402"/>
      <c r="B36" s="1403"/>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402"/>
      <c r="B37" s="1403"/>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402"/>
      <c r="B38" s="1403"/>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402"/>
      <c r="B39" s="1403"/>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402"/>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402"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402"/>
      <c r="D42" s="55"/>
      <c r="E42" s="311" t="str">
        <f>FHD_NUM_P_6</f>
        <v/>
      </c>
      <c r="F42" s="323" t="str">
        <f>FHD_P_6</f>
        <v/>
      </c>
      <c r="G42" s="41" t="s">
        <v>555</v>
      </c>
      <c r="H42" s="321"/>
      <c r="I42" s="321"/>
      <c r="J42" s="67" t="str">
        <f>FHD_NOTE_P_6</f>
        <v/>
      </c>
      <c r="K42" s="68" t="str">
        <f t="shared" si="0"/>
        <v/>
      </c>
      <c r="AF42" s="11">
        <v>0</v>
      </c>
    </row>
    <row r="43" spans="1:32" ht="11.25" hidden="1" customHeight="1">
      <c r="A43" s="1402"/>
      <c r="D43" s="55"/>
      <c r="E43" s="311" t="str">
        <f>FHD_NUM_P_7</f>
        <v/>
      </c>
      <c r="F43" s="323" t="str">
        <f>FHD_P_7</f>
        <v/>
      </c>
      <c r="G43" s="41" t="s">
        <v>555</v>
      </c>
      <c r="H43" s="321"/>
      <c r="I43" s="321"/>
      <c r="J43" s="67" t="str">
        <f>FHD_NOTE_P_7</f>
        <v/>
      </c>
      <c r="K43" s="68" t="str">
        <f t="shared" si="0"/>
        <v/>
      </c>
      <c r="AF43" s="11">
        <v>0</v>
      </c>
    </row>
    <row r="44" spans="1:32" ht="11.5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55" customHeight="1">
      <c r="D45" s="55"/>
      <c r="E45" s="311" t="str">
        <f>FHD_NUM_P_9</f>
        <v>2.2.1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55" customHeight="1">
      <c r="A46" s="572"/>
      <c r="C46" s="68"/>
      <c r="D46" s="336"/>
      <c r="E46" s="311" t="str">
        <f>FHD_NUM_P_10</f>
        <v>2.2.2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576</v>
      </c>
      <c r="C47" s="68"/>
      <c r="D47" s="337"/>
      <c r="E47" s="311" t="str">
        <f>FHD_NUM_P_11</f>
        <v/>
      </c>
      <c r="F47" s="323" t="str">
        <f>FHD_P_11</f>
        <v/>
      </c>
      <c r="G47" s="41" t="s">
        <v>555</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5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5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5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5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555</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5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5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5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55" customHeight="1">
      <c r="A56" s="572"/>
      <c r="C56" s="68"/>
      <c r="D56" s="337"/>
      <c r="E56" s="311" t="str">
        <f>FHD_NUM_P_20</f>
        <v>2.6.1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55" customHeight="1">
      <c r="A57" s="572"/>
      <c r="C57" s="68"/>
      <c r="D57" s="337"/>
      <c r="E57" s="311" t="str">
        <f>FHD_NUM_P_21</f>
        <v>2.6.2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5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55" customHeight="1">
      <c r="A59" s="572"/>
      <c r="C59" s="68"/>
      <c r="D59" s="337"/>
      <c r="E59" s="311" t="str">
        <f>FHD_NUM_P_23</f>
        <v>2.8</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55" customHeight="1">
      <c r="A60" s="572"/>
      <c r="C60" s="68"/>
      <c r="D60" s="337"/>
      <c r="E60" s="311" t="str">
        <f>FHD_NUM_P_24</f>
        <v>2.8.1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55" customHeight="1">
      <c r="A61" s="572"/>
      <c r="C61" s="68"/>
      <c r="D61" s="337"/>
      <c r="E61" s="311" t="str">
        <f>FHD_NUM_P_25</f>
        <v>2.8.2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55" customHeight="1">
      <c r="A62" s="572"/>
      <c r="C62" s="68"/>
      <c r="D62" s="55"/>
      <c r="E62" s="311" t="str">
        <f>FHD_NUM_P_26</f>
        <v>2.9</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55" customHeight="1">
      <c r="A63" s="572"/>
      <c r="C63" s="68"/>
      <c r="D63" s="55"/>
      <c r="E63" s="311" t="str">
        <f>FHD_NUM_P_27</f>
        <v>2.9.1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55" customHeight="1">
      <c r="A64" s="572"/>
      <c r="C64" s="68"/>
      <c r="D64" s="55"/>
      <c r="E64" s="311" t="str">
        <f>FHD_NUM_P_28</f>
        <v>2.9.2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5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5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402" t="s">
        <v>579</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555</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402"/>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5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05" customHeight="1">
      <c r="A70" s="313"/>
      <c r="D70" s="313"/>
      <c r="E70" s="316" t="str">
        <f>E69&amp;".0"</f>
        <v>2.12.0</v>
      </c>
      <c r="F70" s="576"/>
      <c r="G70" s="316"/>
      <c r="H70" s="577"/>
      <c r="I70" s="577"/>
      <c r="J70" s="578"/>
      <c r="K70" s="68" t="str">
        <f t="shared" si="0"/>
        <v/>
      </c>
      <c r="AF70" s="68">
        <v>1</v>
      </c>
    </row>
    <row r="71" spans="1:32" s="63" customFormat="1" ht="14.7"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hidden="1" customHeight="1">
      <c r="A72" s="574" t="s">
        <v>581</v>
      </c>
      <c r="C72" s="68"/>
      <c r="D72" s="55"/>
      <c r="E72" s="311" t="str">
        <f>FHD_NUM_P_34</f>
        <v/>
      </c>
      <c r="F72" s="153" t="str">
        <f>FHD_P_34</f>
        <v/>
      </c>
      <c r="G72" s="41" t="s">
        <v>555</v>
      </c>
      <c r="H72" s="321"/>
      <c r="I72" s="321"/>
      <c r="J72" s="67" t="str">
        <f>FHD_NOTE_P_34</f>
        <v/>
      </c>
      <c r="K72" s="308"/>
      <c r="L72" s="68"/>
      <c r="M72" s="68"/>
      <c r="R72" s="68"/>
      <c r="U72" s="309"/>
      <c r="AA72" s="8"/>
      <c r="AB72" s="8"/>
      <c r="AC72" s="8"/>
      <c r="AD72" s="8"/>
      <c r="AE72" s="8"/>
      <c r="AF72" s="63">
        <v>0</v>
      </c>
    </row>
    <row r="73" spans="1:32" s="63" customFormat="1" ht="19.95"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95"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95" customHeight="1">
      <c r="A75" s="572"/>
      <c r="C75" s="68"/>
      <c r="D75" s="55"/>
      <c r="E75" s="311" t="str">
        <f>FHD_NUM_P_37</f>
        <v>4</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95"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95"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95"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95"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19.95"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555</v>
      </c>
      <c r="H80" s="561"/>
      <c r="I80" s="321"/>
      <c r="J80" s="67" t="str">
        <f>FHD_NOTE_P_42</f>
        <v/>
      </c>
      <c r="K80" s="308"/>
      <c r="L80" s="68"/>
      <c r="M80" s="68"/>
      <c r="R80" s="68"/>
      <c r="U80" s="309"/>
      <c r="AA80" s="8"/>
      <c r="AB80" s="8"/>
      <c r="AC80" s="8"/>
      <c r="AD80" s="8"/>
      <c r="AE80" s="8"/>
      <c r="AF80" s="63">
        <v>19</v>
      </c>
    </row>
    <row r="81" spans="1:32" s="63" customFormat="1" ht="19.95"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402" t="s">
        <v>583</v>
      </c>
      <c r="C82" s="68"/>
      <c r="D82" s="55"/>
      <c r="E82" s="311" t="str">
        <f>FHD_NUM_P_44</f>
        <v/>
      </c>
      <c r="F82" s="153" t="str">
        <f>FHD_P_44</f>
        <v/>
      </c>
      <c r="G82" s="41" t="s">
        <v>584</v>
      </c>
      <c r="H82" s="562"/>
      <c r="I82" s="339"/>
      <c r="J82" s="67" t="str">
        <f>FHD_NOTE_P_44</f>
        <v/>
      </c>
      <c r="K82" s="308"/>
      <c r="L82" s="68"/>
      <c r="M82" s="68"/>
      <c r="R82" s="68"/>
      <c r="U82" s="309"/>
      <c r="AA82" s="8"/>
      <c r="AB82" s="8"/>
      <c r="AC82" s="8"/>
      <c r="AD82" s="8"/>
      <c r="AE82" s="8"/>
      <c r="AF82" s="63">
        <v>0</v>
      </c>
    </row>
    <row r="83" spans="1:32" s="63" customFormat="1" ht="18.75" hidden="1" customHeight="1">
      <c r="A83" s="1402"/>
      <c r="C83" s="68"/>
      <c r="D83" s="55"/>
      <c r="E83" s="311" t="str">
        <f>FHD_NUM_P_45</f>
        <v/>
      </c>
      <c r="F83" s="153" t="str">
        <f>FHD_P_45</f>
        <v/>
      </c>
      <c r="G83" s="41" t="s">
        <v>584</v>
      </c>
      <c r="H83" s="562"/>
      <c r="I83" s="339"/>
      <c r="J83" s="67" t="str">
        <f>FHD_NOTE_P_45</f>
        <v/>
      </c>
      <c r="K83" s="308"/>
      <c r="L83" s="68"/>
      <c r="M83" s="68"/>
      <c r="R83" s="68"/>
      <c r="U83" s="309"/>
      <c r="AA83" s="8"/>
      <c r="AB83" s="8"/>
      <c r="AC83" s="8"/>
      <c r="AD83" s="8"/>
      <c r="AE83" s="8"/>
      <c r="AF83" s="63">
        <v>0</v>
      </c>
    </row>
    <row r="84" spans="1:32" s="63" customFormat="1" ht="18.75" hidden="1" customHeight="1">
      <c r="A84" s="1402"/>
      <c r="C84" s="68"/>
      <c r="D84" s="337"/>
      <c r="E84" s="311" t="str">
        <f>FHD_NUM_P_46</f>
        <v/>
      </c>
      <c r="F84" s="153" t="str">
        <f>FHD_P_46</f>
        <v/>
      </c>
      <c r="G84" s="41" t="s">
        <v>584</v>
      </c>
      <c r="H84" s="562"/>
      <c r="I84" s="339"/>
      <c r="J84" s="67" t="str">
        <f>FHD_NOTE_P_46</f>
        <v/>
      </c>
      <c r="K84" s="308"/>
      <c r="L84" s="68"/>
      <c r="M84" s="68"/>
      <c r="R84" s="68"/>
      <c r="U84" s="309"/>
      <c r="AA84" s="8"/>
      <c r="AB84" s="8"/>
      <c r="AC84" s="8"/>
      <c r="AD84" s="8"/>
      <c r="AE84" s="8"/>
      <c r="AF84" s="63">
        <v>0</v>
      </c>
    </row>
    <row r="85" spans="1:32" s="63" customFormat="1" ht="18.75" hidden="1" customHeight="1">
      <c r="A85" s="1402"/>
      <c r="C85" s="68"/>
      <c r="D85" s="55"/>
      <c r="E85" s="311" t="str">
        <f>FHD_NUM_P_47</f>
        <v/>
      </c>
      <c r="F85" s="153" t="str">
        <f>FHD_P_47</f>
        <v/>
      </c>
      <c r="G85" s="41" t="s">
        <v>584</v>
      </c>
      <c r="H85" s="562"/>
      <c r="I85" s="339"/>
      <c r="J85" s="67" t="str">
        <f>FHD_NOTE_P_47</f>
        <v/>
      </c>
      <c r="K85" s="308"/>
      <c r="L85" s="68"/>
      <c r="M85" s="68"/>
      <c r="R85" s="68"/>
      <c r="U85" s="309"/>
      <c r="AA85" s="8"/>
      <c r="AB85" s="8"/>
      <c r="AC85" s="8"/>
      <c r="AD85" s="8"/>
      <c r="AE85" s="8"/>
      <c r="AF85" s="63">
        <v>0</v>
      </c>
    </row>
    <row r="86" spans="1:32" s="11" customFormat="1" ht="18.75" hidden="1" customHeight="1">
      <c r="A86" s="1402"/>
      <c r="B86" s="63"/>
      <c r="C86" s="68"/>
      <c r="D86" s="55"/>
      <c r="E86" s="311" t="str">
        <f>FHD_NUM_P_48</f>
        <v/>
      </c>
      <c r="F86" s="153" t="str">
        <f>FHD_P_48</f>
        <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402"/>
      <c r="B87" s="63"/>
      <c r="C87" s="68"/>
      <c r="D87" s="55"/>
      <c r="E87" s="311" t="str">
        <f>FHD_NUM_P_49</f>
        <v/>
      </c>
      <c r="F87" s="153" t="str">
        <f>FHD_P_49</f>
        <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402"/>
      <c r="B88" s="63"/>
      <c r="C88" s="68"/>
      <c r="D88" s="55"/>
      <c r="E88" s="311" t="str">
        <f>FHD_NUM_P_50</f>
        <v/>
      </c>
      <c r="F88" s="153" t="str">
        <f>FHD_P_50</f>
        <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402"/>
      <c r="B89" s="63"/>
      <c r="C89" s="68"/>
      <c r="D89" s="55"/>
      <c r="E89" s="311" t="str">
        <f>FHD_NUM_P_51</f>
        <v/>
      </c>
      <c r="F89" s="153" t="str">
        <f>FHD_P_51</f>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402"/>
      <c r="B90" s="63"/>
      <c r="C90" s="68"/>
      <c r="D90" s="55"/>
      <c r="E90" s="311" t="str">
        <f>FHD_NUM_P_52</f>
        <v/>
      </c>
      <c r="F90" s="153" t="str">
        <f>FHD_P_52</f>
        <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402"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402"/>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402"/>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402"/>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402"/>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402" t="s">
        <v>587</v>
      </c>
      <c r="D96" s="55"/>
      <c r="E96" s="311" t="str">
        <f>FHD_NUM_P_58</f>
        <v>7</v>
      </c>
      <c r="F96" s="153" t="str">
        <f>FHD_P_58</f>
        <v>Объём сточных вод, принятых от потребителей</v>
      </c>
      <c r="G96" s="41" t="s">
        <v>584</v>
      </c>
      <c r="H96" s="562"/>
      <c r="I96" s="339"/>
      <c r="J96" s="67" t="str">
        <f>FHD_NOTE_P_58</f>
        <v/>
      </c>
      <c r="K96" s="308"/>
      <c r="AF96" s="11">
        <v>0</v>
      </c>
    </row>
    <row r="97" spans="1:32" ht="18.75" customHeight="1">
      <c r="A97" s="1402"/>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584</v>
      </c>
      <c r="H97" s="562"/>
      <c r="I97" s="339"/>
      <c r="J97" s="67" t="str">
        <f>FHD_NOTE_P_59</f>
        <v/>
      </c>
      <c r="K97" s="308"/>
      <c r="AF97" s="11">
        <v>0</v>
      </c>
    </row>
    <row r="98" spans="1:32" ht="18.75" customHeight="1">
      <c r="A98" s="1402"/>
      <c r="D98" s="55"/>
      <c r="E98" s="311" t="str">
        <f>FHD_NUM_P_60</f>
        <v>9</v>
      </c>
      <c r="F98" s="153" t="str">
        <f>FHD_P_60</f>
        <v>Объём сточных вод, пропущенных через очистные сооружения</v>
      </c>
      <c r="G98" s="41" t="s">
        <v>584</v>
      </c>
      <c r="H98" s="562"/>
      <c r="I98" s="339"/>
      <c r="J98" s="67" t="str">
        <f>FHD_NOTE_P_60</f>
        <v/>
      </c>
      <c r="K98" s="308"/>
      <c r="AF98" s="11">
        <v>0</v>
      </c>
    </row>
    <row r="99" spans="1:32" s="63" customFormat="1" ht="18.75" hidden="1" customHeight="1">
      <c r="A99" s="1402" t="s">
        <v>588</v>
      </c>
      <c r="C99" s="68"/>
      <c r="D99" s="55"/>
      <c r="E99" s="311" t="str">
        <f>FHD_NUM_P_61</f>
        <v/>
      </c>
      <c r="F99" s="153" t="str">
        <f>FHD_P_61</f>
        <v/>
      </c>
      <c r="G99" s="41" t="s">
        <v>559</v>
      </c>
      <c r="H99" s="564"/>
      <c r="I99" s="430"/>
      <c r="J99" s="67" t="str">
        <f>FHD_NOTE_P_61</f>
        <v/>
      </c>
      <c r="K99" s="308"/>
      <c r="L99" s="68"/>
      <c r="M99" s="68"/>
      <c r="R99" s="68"/>
      <c r="U99" s="309"/>
      <c r="AA99" s="8"/>
      <c r="AB99" s="8"/>
      <c r="AC99" s="8"/>
      <c r="AD99" s="8"/>
      <c r="AE99" s="8"/>
      <c r="AF99" s="63">
        <v>0</v>
      </c>
    </row>
    <row r="100" spans="1:32" s="68" customFormat="1" ht="0.75" hidden="1" customHeight="1">
      <c r="A100" s="1402"/>
      <c r="D100" s="313"/>
      <c r="E100" s="316" t="str">
        <f>E99&amp;".0"</f>
        <v>.0</v>
      </c>
      <c r="F100" s="579"/>
      <c r="G100" s="580"/>
      <c r="H100" s="577"/>
      <c r="I100" s="577"/>
      <c r="J100" s="581"/>
      <c r="AF100" s="68">
        <v>0</v>
      </c>
    </row>
    <row r="101" spans="1:32" ht="15" hidden="1" customHeight="1">
      <c r="A101" s="1402"/>
      <c r="D101" s="77"/>
      <c r="E101" s="558"/>
      <c r="F101" s="559" t="s">
        <v>589</v>
      </c>
      <c r="G101" s="334"/>
      <c r="H101" s="335"/>
      <c r="I101" s="335"/>
      <c r="J101" s="199" t="s">
        <v>590</v>
      </c>
      <c r="K101" s="308"/>
      <c r="AF101" s="11">
        <v>0</v>
      </c>
    </row>
    <row r="102" spans="1:32" s="63" customFormat="1" ht="18.75" hidden="1" customHeight="1">
      <c r="A102" s="1402"/>
      <c r="C102" s="68"/>
      <c r="D102" s="55"/>
      <c r="E102" s="311" t="str">
        <f>FHD_NUM_P_62</f>
        <v/>
      </c>
      <c r="F102" s="153" t="str">
        <f>FHD_P_62</f>
        <v/>
      </c>
      <c r="G102" s="395" t="s">
        <v>559</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402"/>
      <c r="C103" s="68"/>
      <c r="D103" s="55"/>
      <c r="E103" s="311" t="str">
        <f>FHD_NUM_P_63</f>
        <v/>
      </c>
      <c r="F103" s="153" t="str">
        <f>FHD_P_63</f>
        <v/>
      </c>
      <c r="G103" s="395" t="s">
        <v>586</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402"/>
      <c r="C104" s="68" t="s">
        <v>591</v>
      </c>
      <c r="D104" s="55"/>
      <c r="E104" s="311" t="str">
        <f>FHD_NUM_P_64</f>
        <v/>
      </c>
      <c r="F104" s="153" t="str">
        <f>FHD_P_64</f>
        <v/>
      </c>
      <c r="G104" s="395" t="s">
        <v>586</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402"/>
      <c r="C105" s="68"/>
      <c r="D105" s="55"/>
      <c r="E105" s="311" t="str">
        <f>FHD_NUM_P_65</f>
        <v/>
      </c>
      <c r="F105" s="153" t="str">
        <f>FHD_P_65</f>
        <v/>
      </c>
      <c r="G105" s="395" t="s">
        <v>586</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402"/>
      <c r="C106" s="68"/>
      <c r="D106" s="55"/>
      <c r="E106" s="311" t="str">
        <f>FHD_NUM_P_66</f>
        <v/>
      </c>
      <c r="F106" s="323" t="str">
        <f>FHD_P_66</f>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402"/>
      <c r="C107" s="68"/>
      <c r="D107" s="55"/>
      <c r="E107" s="311" t="str">
        <f>FHD_NUM_P_67</f>
        <v/>
      </c>
      <c r="F107" s="338" t="str">
        <f>FHD_P_67</f>
        <v/>
      </c>
      <c r="G107" s="395" t="s">
        <v>586</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402"/>
      <c r="C108" s="68"/>
      <c r="D108" s="55"/>
      <c r="E108" s="311" t="str">
        <f>FHD_NUM_P_68</f>
        <v/>
      </c>
      <c r="F108" s="323" t="str">
        <f>FHD_P_68</f>
        <v/>
      </c>
      <c r="G108" s="395" t="s">
        <v>586</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402"/>
      <c r="C109" s="68"/>
      <c r="D109" s="55"/>
      <c r="E109" s="311" t="str">
        <f>FHD_NUM_P_69</f>
        <v/>
      </c>
      <c r="F109" s="323" t="str">
        <f>FHD_P_69</f>
        <v/>
      </c>
      <c r="G109" s="395" t="s">
        <v>586</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402"/>
      <c r="C110" s="68"/>
      <c r="D110" s="55"/>
      <c r="E110" s="311" t="str">
        <f>FHD_NUM_P_70</f>
        <v/>
      </c>
      <c r="F110" s="153" t="str">
        <f>FHD_P_70</f>
        <v/>
      </c>
      <c r="G110" s="395" t="s">
        <v>592</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402"/>
      <c r="C111" s="68"/>
      <c r="D111" s="55"/>
      <c r="E111" s="311" t="str">
        <f>FHD_NUM_P_71</f>
        <v/>
      </c>
      <c r="F111" s="153" t="str">
        <f>FHD_P_71</f>
        <v/>
      </c>
      <c r="G111" s="395" t="s">
        <v>592</v>
      </c>
      <c r="H111" s="321"/>
      <c r="I111" s="321"/>
      <c r="J111" s="67" t="str">
        <f>FHD_NOTE_P_71</f>
        <v/>
      </c>
      <c r="K111" s="308"/>
      <c r="L111" s="68"/>
      <c r="M111" s="68"/>
      <c r="R111" s="68"/>
      <c r="U111" s="309"/>
      <c r="AA111" s="8"/>
      <c r="AB111" s="8"/>
      <c r="AC111" s="8"/>
      <c r="AD111" s="8"/>
      <c r="AE111" s="8"/>
      <c r="AF111" s="63">
        <v>0</v>
      </c>
    </row>
    <row r="112" spans="1:32" ht="19.95" customHeight="1">
      <c r="D112" s="55"/>
      <c r="E112" s="311" t="str">
        <f>FHD_NUM_P_72</f>
        <v>10</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hidden="1" customHeight="1">
      <c r="A113" s="574" t="s">
        <v>594</v>
      </c>
      <c r="D113" s="55"/>
      <c r="E113" s="311" t="str">
        <f>FHD_NUM_P_73</f>
        <v/>
      </c>
      <c r="F113" s="153" t="str">
        <f>FHD_P_73</f>
        <v/>
      </c>
      <c r="G113" s="557" t="s">
        <v>593</v>
      </c>
      <c r="H113" s="556"/>
      <c r="I113" s="556"/>
      <c r="J113" s="67" t="str">
        <f>FHD_NOTE_P_73</f>
        <v/>
      </c>
      <c r="K113" s="308"/>
      <c r="AF113" s="11">
        <v>0</v>
      </c>
    </row>
    <row r="114" spans="1:32" ht="33.75" hidden="1" customHeight="1">
      <c r="A114" s="574" t="s">
        <v>595</v>
      </c>
      <c r="D114" s="55"/>
      <c r="E114" s="311" t="str">
        <f>FHD_NUM_P_74</f>
        <v/>
      </c>
      <c r="F114" s="153" t="str">
        <f>FHD_P_74</f>
        <v/>
      </c>
      <c r="G114" s="395" t="s">
        <v>596</v>
      </c>
      <c r="H114" s="339"/>
      <c r="I114" s="339"/>
      <c r="J114" s="67" t="str">
        <f>FHD_NOTE_P_74</f>
        <v/>
      </c>
      <c r="K114" s="308"/>
      <c r="AF114" s="11">
        <v>0</v>
      </c>
    </row>
    <row r="115" spans="1:32" s="11" customFormat="1" ht="18.75" hidden="1" customHeight="1">
      <c r="A115" s="1402" t="s">
        <v>597</v>
      </c>
      <c r="B115" s="63"/>
      <c r="C115" s="68"/>
      <c r="D115" s="55"/>
      <c r="E115" s="311" t="str">
        <f>FHD_NUM_P_75</f>
        <v/>
      </c>
      <c r="F115" s="153" t="str">
        <f>FHD_P_75</f>
        <v/>
      </c>
      <c r="G115" s="395" t="s">
        <v>561</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402"/>
      <c r="B116" s="63"/>
      <c r="C116" s="68"/>
      <c r="D116" s="55"/>
      <c r="E116" s="311" t="str">
        <f>FHD_NUM_P_76</f>
        <v/>
      </c>
      <c r="F116" s="153" t="str">
        <f>FHD_P_76</f>
        <v/>
      </c>
      <c r="G116" s="395" t="s">
        <v>561</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402"/>
      <c r="B117" s="63"/>
      <c r="C117" s="68"/>
      <c r="D117" s="55"/>
      <c r="E117" s="311" t="str">
        <f>FHD_NUM_P_77</f>
        <v/>
      </c>
      <c r="F117" s="153" t="str">
        <f>FHD_P_77</f>
        <v/>
      </c>
      <c r="G117" s="395" t="s">
        <v>561</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402"/>
      <c r="D118" s="313"/>
      <c r="E118" s="316" t="str">
        <f>E117&amp;".0"</f>
        <v>.0</v>
      </c>
      <c r="F118" s="582"/>
      <c r="G118" s="895"/>
      <c r="H118" s="577"/>
      <c r="I118" s="577"/>
      <c r="J118" s="581"/>
      <c r="AF118" s="68">
        <v>0</v>
      </c>
    </row>
    <row r="119" spans="1:32" s="11" customFormat="1" ht="15" hidden="1" customHeight="1">
      <c r="A119" s="1402"/>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402" t="s">
        <v>600</v>
      </c>
      <c r="D120" s="55"/>
      <c r="E120" s="311" t="str">
        <f>FHD_NUM_P_78</f>
        <v/>
      </c>
      <c r="F120" s="153" t="str">
        <f>FHD_P_78</f>
        <v/>
      </c>
      <c r="G120" s="395" t="s">
        <v>563</v>
      </c>
      <c r="H120" s="339"/>
      <c r="I120" s="339"/>
      <c r="J120" s="67" t="str">
        <f>FHD_NOTE_P_78</f>
        <v/>
      </c>
      <c r="K120" s="308"/>
      <c r="AF120" s="11">
        <v>0</v>
      </c>
    </row>
    <row r="121" spans="1:32" s="68" customFormat="1" ht="0.75" hidden="1" customHeight="1">
      <c r="A121" s="1402"/>
      <c r="D121" s="313"/>
      <c r="E121" s="316" t="str">
        <f>E120&amp;".0"</f>
        <v>.0</v>
      </c>
      <c r="F121" s="582"/>
      <c r="G121" s="895"/>
      <c r="H121" s="577"/>
      <c r="I121" s="577"/>
      <c r="J121" s="581"/>
      <c r="AF121" s="68">
        <v>0</v>
      </c>
    </row>
    <row r="122" spans="1:32" ht="15" hidden="1" customHeight="1">
      <c r="A122" s="1402"/>
      <c r="D122" s="77"/>
      <c r="E122" s="333"/>
      <c r="F122" s="110" t="s">
        <v>589</v>
      </c>
      <c r="G122" s="334"/>
      <c r="H122" s="335"/>
      <c r="I122" s="335"/>
      <c r="J122" s="199" t="s">
        <v>601</v>
      </c>
      <c r="K122" s="308"/>
      <c r="AF122" s="11">
        <v>0</v>
      </c>
    </row>
    <row r="123" spans="1:32" ht="22.5" hidden="1" customHeight="1">
      <c r="A123" s="1402"/>
      <c r="D123" s="55"/>
      <c r="E123" s="311" t="str">
        <f>FHD_NUM_P_79</f>
        <v/>
      </c>
      <c r="F123" s="153" t="str">
        <f>FHD_P_79</f>
        <v/>
      </c>
      <c r="G123" s="41" t="s">
        <v>565</v>
      </c>
      <c r="H123" s="339"/>
      <c r="I123" s="339"/>
      <c r="J123" s="67" t="str">
        <f>FHD_NOTE_P_79</f>
        <v/>
      </c>
      <c r="K123" s="308"/>
      <c r="AF123" s="11">
        <v>0</v>
      </c>
    </row>
    <row r="124" spans="1:32" s="68" customFormat="1" ht="0.75" hidden="1" customHeight="1">
      <c r="A124" s="1402"/>
      <c r="D124" s="313"/>
      <c r="E124" s="316" t="str">
        <f>E123&amp;".0"</f>
        <v>.0</v>
      </c>
      <c r="F124" s="583"/>
      <c r="G124" s="895"/>
      <c r="H124" s="577"/>
      <c r="I124" s="577"/>
      <c r="J124" s="581"/>
      <c r="AF124" s="68">
        <v>0</v>
      </c>
    </row>
    <row r="125" spans="1:32" ht="15" hidden="1" customHeight="1">
      <c r="A125" s="1402"/>
      <c r="D125" s="77"/>
      <c r="E125" s="333"/>
      <c r="F125" s="110" t="s">
        <v>589</v>
      </c>
      <c r="G125" s="334"/>
      <c r="H125" s="335"/>
      <c r="I125" s="335"/>
      <c r="J125" s="199" t="s">
        <v>602</v>
      </c>
      <c r="K125" s="308"/>
      <c r="AF125" s="11">
        <v>0</v>
      </c>
    </row>
    <row r="126" spans="1:32" ht="22.5" hidden="1" customHeight="1">
      <c r="A126" s="1402"/>
      <c r="D126" s="55"/>
      <c r="E126" s="311" t="str">
        <f>FHD_NUM_P_80</f>
        <v/>
      </c>
      <c r="F126" s="153" t="str">
        <f>FHD_P_80</f>
        <v/>
      </c>
      <c r="G126" s="41" t="s">
        <v>603</v>
      </c>
      <c r="H126" s="321"/>
      <c r="I126" s="321"/>
      <c r="J126" s="67" t="str">
        <f>FHD_NOTE_P_80</f>
        <v/>
      </c>
      <c r="K126" s="308"/>
      <c r="AF126" s="11">
        <v>0</v>
      </c>
    </row>
    <row r="127" spans="1:32" ht="18.75" hidden="1" customHeight="1">
      <c r="A127" s="1402"/>
      <c r="D127" s="55"/>
      <c r="E127" s="311" t="str">
        <f>FHD_NUM_P_81</f>
        <v/>
      </c>
      <c r="F127" s="153" t="str">
        <f>FHD_P_81</f>
        <v/>
      </c>
      <c r="G127" s="41" t="s">
        <v>604</v>
      </c>
      <c r="H127" s="321"/>
      <c r="I127" s="321"/>
      <c r="J127" s="67" t="str">
        <f>FHD_NOTE_P_81</f>
        <v/>
      </c>
      <c r="K127" s="308"/>
      <c r="AF127" s="11">
        <v>0</v>
      </c>
    </row>
    <row r="128" spans="1:32" ht="18.75" hidden="1" customHeight="1">
      <c r="A128" s="1402"/>
      <c r="C128" s="68" t="s">
        <v>591</v>
      </c>
      <c r="D128" s="55"/>
      <c r="E128" s="311" t="str">
        <f>FHD_NUM_P_82</f>
        <v/>
      </c>
      <c r="F128" s="153" t="str">
        <f>FHD_P_82</f>
        <v/>
      </c>
      <c r="G128" s="41" t="s">
        <v>310</v>
      </c>
      <c r="H128" s="228"/>
      <c r="I128" s="228"/>
      <c r="J128" s="67" t="str">
        <f>FHD_NOTE_P_82</f>
        <v/>
      </c>
      <c r="K128" s="308"/>
      <c r="AF128" s="11">
        <v>0</v>
      </c>
    </row>
    <row r="129" spans="1:32" ht="18.75" hidden="1" customHeight="1">
      <c r="A129" s="1402"/>
      <c r="C129" s="68" t="s">
        <v>591</v>
      </c>
      <c r="D129" s="55"/>
      <c r="E129" s="311" t="str">
        <f>FHD_NUM_P_83</f>
        <v/>
      </c>
      <c r="F129" s="323" t="str">
        <f>FHD_P_83</f>
        <v/>
      </c>
      <c r="G129" s="41" t="s">
        <v>310</v>
      </c>
      <c r="H129" s="228"/>
      <c r="I129" s="228"/>
      <c r="J129" s="67" t="str">
        <f>FHD_NOTE_P_83</f>
        <v/>
      </c>
      <c r="K129" s="308"/>
      <c r="AF129" s="11">
        <v>0</v>
      </c>
    </row>
    <row r="130" spans="1:32" ht="18.75" hidden="1" customHeight="1">
      <c r="A130" s="1402"/>
      <c r="C130" s="68" t="s">
        <v>591</v>
      </c>
      <c r="D130" s="55"/>
      <c r="E130" s="311" t="str">
        <f>FHD_NUM_P_84</f>
        <v/>
      </c>
      <c r="F130" s="323" t="str">
        <f>FHD_P_84</f>
        <v/>
      </c>
      <c r="G130" s="41" t="s">
        <v>310</v>
      </c>
      <c r="H130" s="228"/>
      <c r="I130" s="228"/>
      <c r="J130" s="67" t="str">
        <f>FHD_NOTE_P_84</f>
        <v/>
      </c>
      <c r="K130" s="308"/>
      <c r="AF130" s="11">
        <v>0</v>
      </c>
    </row>
    <row r="131" spans="1:32" ht="11.55" customHeight="1">
      <c r="D131" s="55"/>
      <c r="AF131" s="11">
        <v>11</v>
      </c>
    </row>
    <row r="132" spans="1:32" ht="13.5" customHeight="1">
      <c r="D132" s="55"/>
      <c r="E132" s="198"/>
      <c r="F132" s="4"/>
      <c r="G132" s="4"/>
      <c r="H132" s="4"/>
      <c r="I132" s="373"/>
      <c r="J132" s="342"/>
      <c r="AF132" s="11">
        <v>13</v>
      </c>
    </row>
    <row r="133" spans="1:32" s="203" customFormat="1" ht="11.5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5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5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5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5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5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5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5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5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5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5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5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5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5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5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5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5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5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5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5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5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5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5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5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5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5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5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5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5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5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5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5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5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5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5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5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5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5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5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5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5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5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5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5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5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5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5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5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5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5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5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5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5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5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5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5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5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5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5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5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5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5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5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5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5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5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5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5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5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5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5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5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5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5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5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5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5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5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5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5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5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5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5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5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5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5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5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55" customHeight="1">
      <c r="AF289" s="11">
        <v>11</v>
      </c>
    </row>
    <row r="290" spans="1:32" ht="11.55" customHeight="1">
      <c r="AF290" s="11">
        <v>11</v>
      </c>
    </row>
    <row r="291" spans="1:32" ht="11.55" customHeight="1">
      <c r="AF291" s="11">
        <v>11</v>
      </c>
    </row>
    <row r="292" spans="1:32" ht="11.5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5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5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5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5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5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5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5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5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5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5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355" hidden="1" customWidth="1"/>
    <col min="2" max="2" width="17" style="8" hidden="1" customWidth="1"/>
    <col min="3" max="3" width="3" style="11" customWidth="1"/>
    <col min="4" max="4" width="1.875" style="11" hidden="1" customWidth="1"/>
    <col min="5" max="6" width="7" style="11" customWidth="1"/>
    <col min="7" max="7" width="29" style="11" customWidth="1"/>
    <col min="8" max="8" width="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5"/>
      <c r="G5" s="1275"/>
      <c r="H5" s="1275"/>
      <c r="I5" s="1275"/>
      <c r="J5" s="1275"/>
      <c r="K5" s="1275"/>
      <c r="L5" s="58"/>
      <c r="M5" s="58"/>
      <c r="CF5" s="11">
        <v>28</v>
      </c>
    </row>
    <row r="6" spans="1:84" s="11" customFormat="1" ht="16.8" customHeight="1">
      <c r="A6" s="355"/>
      <c r="B6" s="8"/>
      <c r="D6" s="622"/>
      <c r="E6" s="1247" t="str">
        <f>IF(org=0,"Не определено",org)</f>
        <v>АО "Юграавиа"</v>
      </c>
      <c r="F6" s="1247"/>
      <c r="G6" s="1247"/>
      <c r="H6" s="1247"/>
      <c r="I6" s="1247"/>
      <c r="J6" s="1247"/>
      <c r="K6" s="1247"/>
      <c r="L6" s="58"/>
      <c r="M6" s="58"/>
      <c r="U6" s="68"/>
      <c r="V6" s="68"/>
      <c r="W6" s="8"/>
      <c r="X6" s="8"/>
      <c r="Y6" s="8"/>
      <c r="Z6" s="8"/>
      <c r="AA6" s="8"/>
      <c r="CF6" s="11">
        <v>16</v>
      </c>
    </row>
    <row r="7" spans="1:84" ht="11.55" customHeight="1">
      <c r="G7" s="58"/>
      <c r="H7" s="58"/>
      <c r="I7" s="58"/>
      <c r="J7" s="58"/>
      <c r="K7" s="356"/>
      <c r="L7" s="356"/>
      <c r="M7" s="356"/>
      <c r="R7" s="435"/>
      <c r="CF7" s="11">
        <v>11</v>
      </c>
    </row>
    <row r="8" spans="1:84" s="203" customFormat="1" ht="4.2" customHeight="1">
      <c r="A8" s="358"/>
      <c r="B8" s="142"/>
      <c r="G8" s="560"/>
      <c r="H8" s="560"/>
      <c r="I8" s="560"/>
      <c r="J8" s="560"/>
      <c r="K8" s="597"/>
      <c r="L8" s="597"/>
      <c r="M8" s="597"/>
      <c r="R8" s="598"/>
      <c r="U8" s="68"/>
      <c r="V8" s="68"/>
      <c r="W8" s="142"/>
      <c r="X8" s="142"/>
      <c r="Y8" s="142"/>
      <c r="Z8" s="142"/>
      <c r="AA8" s="142"/>
      <c r="CF8" s="203">
        <v>4</v>
      </c>
    </row>
    <row r="9" spans="1:84" ht="19.95" customHeight="1">
      <c r="D9" s="67"/>
      <c r="E9" s="1140" t="s">
        <v>304</v>
      </c>
      <c r="F9" s="1145"/>
      <c r="G9" s="1145"/>
      <c r="H9" s="1145"/>
      <c r="I9" s="1145"/>
      <c r="J9" s="1145"/>
      <c r="K9" s="1145"/>
      <c r="L9" s="1145"/>
      <c r="M9" s="1145"/>
      <c r="N9" s="1145"/>
      <c r="O9" s="1145"/>
      <c r="P9" s="1145"/>
      <c r="Q9" s="1145"/>
      <c r="R9" s="1139"/>
      <c r="S9" s="1158" t="s">
        <v>305</v>
      </c>
      <c r="T9" s="196"/>
      <c r="CF9" s="11">
        <v>19</v>
      </c>
    </row>
    <row r="10" spans="1:84" ht="48.3" customHeight="1">
      <c r="D10" s="316" t="s">
        <v>89</v>
      </c>
      <c r="E10" s="1158" t="s">
        <v>89</v>
      </c>
      <c r="F10" s="1158"/>
      <c r="G10" s="41" t="s">
        <v>306</v>
      </c>
      <c r="H10" s="1158" t="s">
        <v>89</v>
      </c>
      <c r="I10" s="1158"/>
      <c r="J10" s="41" t="s">
        <v>605</v>
      </c>
      <c r="K10" s="41" t="s">
        <v>606</v>
      </c>
      <c r="L10" s="1158" t="s">
        <v>89</v>
      </c>
      <c r="M10" s="1158"/>
      <c r="N10" s="41" t="s">
        <v>607</v>
      </c>
      <c r="O10" s="41" t="s">
        <v>608</v>
      </c>
      <c r="P10" s="41" t="s">
        <v>609</v>
      </c>
      <c r="Q10" s="41" t="s">
        <v>610</v>
      </c>
      <c r="R10" s="41" t="s">
        <v>611</v>
      </c>
      <c r="S10" s="1158"/>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05" customHeight="1">
      <c r="A12" s="355"/>
      <c r="B12" s="8"/>
      <c r="D12" s="313"/>
      <c r="E12" s="55"/>
      <c r="F12" s="55"/>
      <c r="Q12" s="79"/>
      <c r="R12" s="357"/>
      <c r="T12" s="196"/>
      <c r="U12" s="68"/>
      <c r="V12" s="68"/>
      <c r="W12" s="8"/>
      <c r="X12" s="8"/>
      <c r="Y12" s="8"/>
      <c r="Z12" s="8"/>
      <c r="AA12" s="8"/>
      <c r="CF12" s="11">
        <v>1</v>
      </c>
    </row>
    <row r="13" spans="1:84" s="203" customFormat="1" ht="1.05"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408" t="s">
        <v>110</v>
      </c>
      <c r="E14" s="1415" t="s">
        <v>106</v>
      </c>
      <c r="F14" s="1416"/>
      <c r="G14" s="1417"/>
      <c r="H14" s="1411">
        <f>IF(A14="","",INDEX(DIFFERENTIATION_UNMERGE_VD,MATCH(A14,DIFFERENTIATION_ID_DIFF,0)))</f>
        <v>0</v>
      </c>
      <c r="I14" s="1411"/>
      <c r="J14" s="1411"/>
      <c r="K14" s="1411"/>
      <c r="L14" s="1411"/>
      <c r="M14" s="1411"/>
      <c r="N14" s="1411"/>
      <c r="O14" s="1411"/>
      <c r="P14" s="1411"/>
      <c r="Q14" s="1411"/>
      <c r="R14" s="1411"/>
      <c r="S14" s="416"/>
      <c r="T14" s="414"/>
      <c r="U14" s="104"/>
      <c r="V14" s="104"/>
      <c r="W14" s="62"/>
      <c r="X14" s="62"/>
      <c r="Y14" s="62"/>
      <c r="Z14" s="62"/>
      <c r="AA14" s="104"/>
      <c r="AB14" s="62"/>
      <c r="AC14" s="1414"/>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9"/>
      <c r="E15" s="1415" t="s">
        <v>567</v>
      </c>
      <c r="F15" s="1416"/>
      <c r="G15" s="1417"/>
      <c r="H15" s="1411" t="str">
        <f>IF(A14="","",INDEX(DIFFERENTIATION_UNMERGE_AREA,MATCH(A14,DIFFERENTIATION_ID_DIFF,0)))</f>
        <v/>
      </c>
      <c r="I15" s="1411"/>
      <c r="J15" s="1411"/>
      <c r="K15" s="1411"/>
      <c r="L15" s="1411"/>
      <c r="M15" s="1411"/>
      <c r="N15" s="1411"/>
      <c r="O15" s="1411"/>
      <c r="P15" s="1411"/>
      <c r="Q15" s="1411"/>
      <c r="R15" s="1411"/>
      <c r="S15" s="416"/>
      <c r="T15" s="414"/>
      <c r="U15" s="104"/>
      <c r="V15" s="104"/>
      <c r="W15" s="62"/>
      <c r="X15" s="62"/>
      <c r="Y15" s="62"/>
      <c r="Z15" s="62"/>
      <c r="AA15" s="104"/>
      <c r="AB15" s="62"/>
      <c r="AC15" s="1414"/>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9"/>
      <c r="E16" s="1415" t="s">
        <v>568</v>
      </c>
      <c r="F16" s="1416"/>
      <c r="G16" s="1417"/>
      <c r="H16" s="1411" t="str">
        <f>IF(A14="","",INDEX(DIFFERENTIATION_UNMERGE_SYSTEM,MATCH(A14,DIFFERENTIATION_ID_DIFF,0)))</f>
        <v>без дифференциации</v>
      </c>
      <c r="I16" s="1411"/>
      <c r="J16" s="1411"/>
      <c r="K16" s="1411"/>
      <c r="L16" s="1411"/>
      <c r="M16" s="1411"/>
      <c r="N16" s="1411"/>
      <c r="O16" s="1411"/>
      <c r="P16" s="1411"/>
      <c r="Q16" s="1411"/>
      <c r="R16" s="1411"/>
      <c r="S16" s="416"/>
      <c r="T16" s="414"/>
      <c r="U16" s="104"/>
      <c r="V16" s="104"/>
      <c r="W16" s="62"/>
      <c r="X16" s="62"/>
      <c r="Y16" s="62"/>
      <c r="Z16" s="62"/>
      <c r="AA16" s="104"/>
      <c r="AB16" s="62"/>
      <c r="AC16" s="1414"/>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9"/>
      <c r="E17" s="1413" t="s">
        <v>613</v>
      </c>
      <c r="F17" s="1413"/>
      <c r="G17" s="1413"/>
      <c r="H17" s="1413"/>
      <c r="I17" s="1413"/>
      <c r="J17" s="1413"/>
      <c r="K17" s="1413"/>
      <c r="L17" s="1413"/>
      <c r="M17" s="1413"/>
      <c r="N17" s="1413"/>
      <c r="O17" s="1413"/>
      <c r="P17" s="1413"/>
      <c r="Q17" s="322">
        <f>SUMIF(T18:T19,"i",Q18:Q19)</f>
        <v>0</v>
      </c>
      <c r="R17" s="596"/>
      <c r="S17" s="153" t="s">
        <v>614</v>
      </c>
      <c r="T17" s="414" t="s">
        <v>615</v>
      </c>
      <c r="U17" s="1298">
        <v>1</v>
      </c>
      <c r="V17" s="1298" t="str">
        <f>INDEX(B_FHD_FLAG_INDEX_1,1,MATCH(A14,B_FHD_FLAG_DIFFERENTIATION,0))</f>
        <v>отсутствует</v>
      </c>
      <c r="W17" s="63"/>
      <c r="X17" s="63"/>
      <c r="Y17" s="63"/>
      <c r="Z17" s="63"/>
      <c r="AA17" s="68"/>
      <c r="AB17" s="63"/>
      <c r="AC17" s="1414"/>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9"/>
      <c r="E18" s="362"/>
      <c r="F18" s="362">
        <v>0</v>
      </c>
      <c r="G18" s="362"/>
      <c r="H18" s="362"/>
      <c r="I18" s="362"/>
      <c r="J18" s="362"/>
      <c r="K18" s="362"/>
      <c r="L18" s="362"/>
      <c r="M18" s="362"/>
      <c r="N18" s="362"/>
      <c r="O18" s="362"/>
      <c r="P18" s="362"/>
      <c r="Q18" s="362"/>
      <c r="R18" s="362"/>
      <c r="S18" s="317"/>
      <c r="T18" s="415"/>
      <c r="U18" s="1298"/>
      <c r="V18" s="1298"/>
      <c r="W18" s="68"/>
      <c r="X18" s="68"/>
      <c r="Y18" s="68"/>
      <c r="Z18" s="68"/>
      <c r="AA18" s="68"/>
      <c r="AB18" s="63"/>
      <c r="AC18" s="1414"/>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9"/>
      <c r="E19" s="184" t="s">
        <v>28</v>
      </c>
      <c r="F19" s="110" t="s">
        <v>28</v>
      </c>
      <c r="G19" s="110" t="s">
        <v>28</v>
      </c>
      <c r="H19" s="52" t="s">
        <v>28</v>
      </c>
      <c r="I19" s="52"/>
      <c r="J19" s="52"/>
      <c r="K19" s="52"/>
      <c r="L19" s="52"/>
      <c r="M19" s="52"/>
      <c r="N19" s="52"/>
      <c r="O19" s="52"/>
      <c r="P19" s="52"/>
      <c r="Q19" s="52"/>
      <c r="R19" s="352"/>
      <c r="S19" s="599"/>
      <c r="T19" s="415"/>
      <c r="U19" s="1298"/>
      <c r="V19" s="1298"/>
      <c r="W19" s="63"/>
      <c r="X19" s="63"/>
      <c r="Y19" s="63"/>
      <c r="Z19" s="63"/>
      <c r="AA19" s="68"/>
      <c r="AB19" s="63"/>
      <c r="AC19" s="1414"/>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9"/>
      <c r="E20" s="1413" t="s">
        <v>616</v>
      </c>
      <c r="F20" s="1413"/>
      <c r="G20" s="1413"/>
      <c r="H20" s="1413"/>
      <c r="I20" s="1413"/>
      <c r="J20" s="1413"/>
      <c r="K20" s="1413"/>
      <c r="L20" s="1413"/>
      <c r="M20" s="1413"/>
      <c r="N20" s="1413"/>
      <c r="O20" s="1413"/>
      <c r="P20" s="1413"/>
      <c r="Q20" s="322">
        <f>SUMIF(T21:T22,"i",Q21:Q22)</f>
        <v>0</v>
      </c>
      <c r="R20" s="596"/>
      <c r="S20" s="153" t="s">
        <v>617</v>
      </c>
      <c r="T20" s="414" t="s">
        <v>615</v>
      </c>
      <c r="U20" s="1298">
        <v>2</v>
      </c>
      <c r="V20" s="129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9"/>
      <c r="E21" s="362"/>
      <c r="F21" s="362">
        <v>0</v>
      </c>
      <c r="G21" s="362"/>
      <c r="H21" s="362"/>
      <c r="I21" s="362"/>
      <c r="J21" s="362"/>
      <c r="K21" s="362"/>
      <c r="L21" s="362"/>
      <c r="M21" s="362"/>
      <c r="N21" s="362"/>
      <c r="O21" s="362"/>
      <c r="P21" s="362"/>
      <c r="Q21" s="362"/>
      <c r="R21" s="362"/>
      <c r="S21" s="317"/>
      <c r="T21" s="415"/>
      <c r="U21" s="1298"/>
      <c r="V21" s="129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10"/>
      <c r="E22" s="184" t="s">
        <v>28</v>
      </c>
      <c r="F22" s="110" t="s">
        <v>28</v>
      </c>
      <c r="G22" s="110" t="s">
        <v>28</v>
      </c>
      <c r="H22" s="52" t="s">
        <v>28</v>
      </c>
      <c r="I22" s="52"/>
      <c r="J22" s="52"/>
      <c r="K22" s="52"/>
      <c r="L22" s="52"/>
      <c r="M22" s="52"/>
      <c r="N22" s="52"/>
      <c r="O22" s="52"/>
      <c r="P22" s="52"/>
      <c r="Q22" s="52"/>
      <c r="R22" s="352"/>
      <c r="S22" s="599"/>
      <c r="T22" s="415"/>
      <c r="U22" s="1298"/>
      <c r="V22" s="129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95" customHeight="1">
      <c r="D23" s="618"/>
      <c r="E23" s="618"/>
      <c r="F23" s="618"/>
      <c r="G23" s="618"/>
      <c r="H23" s="618"/>
      <c r="I23" s="618"/>
      <c r="J23" s="618"/>
      <c r="K23" s="618"/>
      <c r="L23" s="618"/>
      <c r="M23" s="618"/>
      <c r="N23" s="618"/>
      <c r="O23" s="618"/>
      <c r="P23" s="618"/>
      <c r="Q23" s="618"/>
      <c r="R23" s="618"/>
      <c r="S23" s="618"/>
      <c r="T23" s="196"/>
      <c r="CF23" s="11">
        <v>19</v>
      </c>
    </row>
    <row r="24" spans="1:84" ht="11.55" customHeight="1">
      <c r="CF24" s="11">
        <v>11</v>
      </c>
    </row>
    <row r="25" spans="1:84" ht="11.55" customHeight="1">
      <c r="D25" s="78"/>
      <c r="E25" s="78"/>
      <c r="F25" s="78"/>
      <c r="G25" s="35"/>
      <c r="CF25" s="11">
        <v>11</v>
      </c>
    </row>
    <row r="26" spans="1:84" ht="11.55" customHeight="1">
      <c r="CF26" s="11">
        <v>11</v>
      </c>
    </row>
    <row r="27" spans="1:84" ht="11.55" customHeight="1">
      <c r="D27" s="372"/>
      <c r="E27" s="1412"/>
      <c r="F27" s="1412"/>
      <c r="G27" s="1412"/>
      <c r="H27" s="1412"/>
      <c r="I27" s="1412"/>
      <c r="J27" s="1412"/>
      <c r="K27" s="1412"/>
      <c r="L27" s="1412"/>
      <c r="M27" s="1412"/>
      <c r="N27" s="1412"/>
      <c r="O27" s="1412"/>
      <c r="P27" s="1412"/>
      <c r="Q27" s="1412"/>
      <c r="R27" s="1412"/>
      <c r="CF27" s="11">
        <v>11</v>
      </c>
    </row>
    <row r="28" spans="1:84" ht="11.5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572" hidden="1" customWidth="1"/>
    <col min="6" max="6" width="16.875" style="63" hidden="1" customWidth="1"/>
    <col min="7" max="7" width="5.625" style="68" hidden="1" customWidth="1"/>
    <col min="8" max="8" width="3" style="11" customWidth="1"/>
    <col min="9" max="9" width="7" style="11" customWidth="1"/>
    <col min="10" max="10" width="56" style="11" customWidth="1"/>
    <col min="11" max="11" width="10" style="11" customWidth="1"/>
    <col min="12" max="12" width="40.625" style="11" hidden="1" customWidth="1"/>
    <col min="13" max="13" width="40.75" style="11" customWidth="1"/>
    <col min="14" max="14" width="9.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37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55" customHeight="1">
      <c r="AK5" s="11">
        <v>11</v>
      </c>
    </row>
    <row r="6" spans="1:37" ht="57.75" customHeight="1">
      <c r="I6" s="1226" t="s">
        <v>622</v>
      </c>
      <c r="J6" s="1226"/>
      <c r="K6" s="1226"/>
      <c r="L6" s="1226"/>
      <c r="M6" s="1226"/>
      <c r="O6" s="59"/>
      <c r="AK6" s="11">
        <v>55</v>
      </c>
    </row>
    <row r="7" spans="1:37" ht="25.2" customHeight="1">
      <c r="I7" s="1247" t="str">
        <f>IF(org=0,"Не определено",org)</f>
        <v>АО "Юграавиа"</v>
      </c>
      <c r="J7" s="1247"/>
      <c r="K7" s="1247"/>
      <c r="L7" s="1247"/>
      <c r="M7" s="1247"/>
      <c r="AK7" s="11">
        <v>24</v>
      </c>
    </row>
    <row r="8" spans="1:37" ht="11.55" customHeight="1">
      <c r="I8" s="668"/>
      <c r="J8" s="668"/>
      <c r="K8" s="668"/>
      <c r="L8" s="668"/>
      <c r="M8" s="668"/>
      <c r="AK8" s="11">
        <v>11</v>
      </c>
    </row>
    <row r="9" spans="1:37" s="68" customFormat="1" ht="30" hidden="1" customHeight="1">
      <c r="A9" s="313"/>
      <c r="B9" s="313"/>
      <c r="C9" s="313"/>
      <c r="E9" s="313"/>
      <c r="L9" s="514"/>
      <c r="M9" s="514" t="s">
        <v>118</v>
      </c>
      <c r="AK9" s="68">
        <v>1</v>
      </c>
    </row>
    <row r="10" spans="1:37" ht="11.55" customHeight="1">
      <c r="E10" s="1083" t="s">
        <v>623</v>
      </c>
      <c r="I10" s="409"/>
      <c r="J10" s="1404" t="s">
        <v>106</v>
      </c>
      <c r="K10" s="1405"/>
      <c r="L10" s="858" t="str">
        <f>IF(L9="","",INDEX(DIFFERENTIATION_UNMERGE_VD,MATCH(L9,DIFFERENTIATION_ID_DIFF,0)))</f>
        <v/>
      </c>
      <c r="M10" s="858">
        <f>IF(M9="","",INDEX(DIFFERENTIATION_UNMERGE_VD,MATCH(M9,DIFFERENTIATION_ID_DIFF,0)))</f>
        <v>0</v>
      </c>
      <c r="O10" s="1158" t="s">
        <v>305</v>
      </c>
      <c r="AK10" s="11">
        <v>11</v>
      </c>
    </row>
    <row r="11" spans="1:37" ht="11.55" customHeight="1">
      <c r="E11" s="1083" t="s">
        <v>624</v>
      </c>
      <c r="I11" s="409"/>
      <c r="J11" s="1404" t="s">
        <v>567</v>
      </c>
      <c r="K11" s="1405"/>
      <c r="L11" s="858" t="str">
        <f>IF(L9="","",INDEX(DIFFERENTIATION_UNMERGE_AREA,MATCH(L9,DIFFERENTIATION_ID_DIFF,0)))</f>
        <v/>
      </c>
      <c r="M11" s="858" t="str">
        <f>IF(M9="","",INDEX(DIFFERENTIATION_UNMERGE_AREA,MATCH(M9,DIFFERENTIATION_ID_DIFF,0)))</f>
        <v/>
      </c>
      <c r="O11" s="1158"/>
      <c r="AK11" s="11">
        <v>11</v>
      </c>
    </row>
    <row r="12" spans="1:37" ht="11.55" customHeight="1">
      <c r="E12" s="1083" t="s">
        <v>625</v>
      </c>
      <c r="I12" s="896"/>
      <c r="J12" s="1404" t="s">
        <v>568</v>
      </c>
      <c r="K12" s="1405"/>
      <c r="L12" s="858" t="str">
        <f>IF(L9="","",INDEX(DIFFERENTIATION_UNMERGE_SYSTEM,MATCH(L9,DIFFERENTIATION_ID_DIFF,0)))</f>
        <v/>
      </c>
      <c r="M12" s="858" t="str">
        <f>IF(M9="","",INDEX(DIFFERENTIATION_UNMERGE_SYSTEM,MATCH(M9,DIFFERENTIATION_ID_DIFF,0)))</f>
        <v>без дифференциации</v>
      </c>
      <c r="O12" s="1158"/>
      <c r="AK12" s="11">
        <v>11</v>
      </c>
    </row>
    <row r="13" spans="1:37" ht="11.55" customHeight="1">
      <c r="E13" s="1083" t="s">
        <v>626</v>
      </c>
      <c r="F13" s="1083" t="s">
        <v>627</v>
      </c>
      <c r="I13" s="1406" t="s">
        <v>304</v>
      </c>
      <c r="J13" s="1407"/>
      <c r="K13" s="1407"/>
      <c r="L13" s="512"/>
      <c r="M13" s="1089"/>
      <c r="O13" s="1158"/>
      <c r="AK13" s="11">
        <v>11</v>
      </c>
    </row>
    <row r="14" spans="1:37" ht="24" customHeight="1">
      <c r="I14" s="41" t="s">
        <v>89</v>
      </c>
      <c r="J14" s="41" t="s">
        <v>306</v>
      </c>
      <c r="K14" s="41" t="s">
        <v>569</v>
      </c>
      <c r="L14" s="389" t="s">
        <v>307</v>
      </c>
      <c r="M14" s="41" t="s">
        <v>307</v>
      </c>
      <c r="O14" s="1158"/>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310</v>
      </c>
      <c r="L15" s="375"/>
      <c r="M15" s="228"/>
      <c r="N15" s="308" t="s">
        <v>633</v>
      </c>
      <c r="O15" s="67" t="s">
        <v>634</v>
      </c>
      <c r="P15" s="308" t="s">
        <v>633</v>
      </c>
      <c r="AK15" s="11">
        <v>23</v>
      </c>
    </row>
    <row r="16" spans="1:37" ht="35.700000000000003"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95"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7"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700000000000003"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3"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95"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95"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700000000000003"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700000000000003"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3"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3"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310</v>
      </c>
      <c r="L34" s="220"/>
      <c r="M34" s="117"/>
      <c r="N34" s="308"/>
      <c r="O34" s="67" t="s">
        <v>634</v>
      </c>
      <c r="P34" s="308"/>
      <c r="AK34" s="11">
        <v>103</v>
      </c>
    </row>
    <row r="35" spans="1:37" s="203" customFormat="1" ht="11.5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5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5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5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5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5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5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5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5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5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5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5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5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5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5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5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5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5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5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5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5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5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5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5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5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5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5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5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5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5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5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5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5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5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5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5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5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5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5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5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5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5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5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5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5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5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5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5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5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5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5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5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5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5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5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5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5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5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5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5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5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5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5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5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5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5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5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5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5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5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5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5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5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5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5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5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5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5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5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5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5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5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5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5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5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5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5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5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5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5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5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5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5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5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5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5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5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5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5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5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5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5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5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5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5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5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5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5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5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5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5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5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5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5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5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5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5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5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5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5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5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5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5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5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5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5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5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5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5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5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5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5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5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5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5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5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5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5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5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5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5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5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5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5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5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5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5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5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5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5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5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5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5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5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5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55" customHeight="1">
      <c r="AK190" s="11">
        <v>11</v>
      </c>
    </row>
    <row r="191" spans="1:37" ht="11.55" customHeight="1">
      <c r="AK191" s="11">
        <v>11</v>
      </c>
    </row>
    <row r="192" spans="1:37" ht="11.55" customHeight="1">
      <c r="AK192" s="11">
        <v>11</v>
      </c>
    </row>
    <row r="193" spans="1:37" ht="11.5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5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5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5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5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5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5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5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5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5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5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1" hidden="1"/>
    <col min="5" max="5" width="9.125" style="33" hidden="1" customWidth="1"/>
    <col min="6" max="7" width="9.1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6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522</v>
      </c>
      <c r="I2" s="64"/>
      <c r="J2" s="497"/>
      <c r="K2" s="399" t="s">
        <v>310</v>
      </c>
      <c r="L2" s="117"/>
      <c r="M2" s="114"/>
      <c r="N2" s="69"/>
      <c r="P2" s="11"/>
      <c r="W2" s="11">
        <v>0</v>
      </c>
    </row>
    <row r="3" spans="1:23" ht="14.25" hidden="1" customHeight="1">
      <c r="W3" s="11">
        <v>0</v>
      </c>
    </row>
    <row r="4" spans="1:23" ht="6.3" customHeight="1">
      <c r="H4" s="28"/>
      <c r="I4" s="10"/>
      <c r="J4" s="10"/>
      <c r="K4" s="10"/>
      <c r="L4" s="20"/>
      <c r="M4" s="20"/>
      <c r="W4" s="11">
        <v>6</v>
      </c>
    </row>
    <row r="5" spans="1:23" ht="50.25" customHeight="1">
      <c r="H5" s="28"/>
      <c r="I5" s="1275" t="s">
        <v>692</v>
      </c>
      <c r="J5" s="1275"/>
      <c r="K5" s="1275"/>
      <c r="L5" s="1275"/>
      <c r="M5" s="156"/>
      <c r="W5" s="11">
        <v>48</v>
      </c>
    </row>
    <row r="6" spans="1:23" ht="18" customHeight="1">
      <c r="H6" s="28"/>
      <c r="I6" s="1247" t="str">
        <f>IF(org=0,"Не определено",org)</f>
        <v>АО "Юграавиа"</v>
      </c>
      <c r="J6" s="1247"/>
      <c r="K6" s="1247"/>
      <c r="L6" s="1247"/>
      <c r="M6" s="156"/>
      <c r="W6" s="11">
        <v>17</v>
      </c>
    </row>
    <row r="7" spans="1:23" ht="14.7" customHeight="1">
      <c r="H7" s="28"/>
      <c r="I7" s="10"/>
      <c r="J7" s="14"/>
      <c r="K7" s="14"/>
      <c r="L7" s="435"/>
      <c r="M7" s="101"/>
      <c r="W7" s="11">
        <v>14</v>
      </c>
    </row>
    <row r="8" spans="1:23" ht="14.7" customHeight="1">
      <c r="H8" s="28"/>
      <c r="I8" s="1418" t="s">
        <v>304</v>
      </c>
      <c r="J8" s="1419"/>
      <c r="K8" s="1419"/>
      <c r="L8" s="1420"/>
      <c r="M8" s="1421" t="s">
        <v>305</v>
      </c>
      <c r="W8" s="11">
        <v>14</v>
      </c>
    </row>
    <row r="9" spans="1:23" ht="35.700000000000003" customHeight="1">
      <c r="E9" s="1084" t="s">
        <v>621</v>
      </c>
      <c r="F9" s="1084" t="s">
        <v>627</v>
      </c>
      <c r="H9" s="28"/>
      <c r="I9" s="36" t="s">
        <v>89</v>
      </c>
      <c r="J9" s="39" t="s">
        <v>306</v>
      </c>
      <c r="K9" s="239" t="s">
        <v>569</v>
      </c>
      <c r="L9" s="39" t="s">
        <v>307</v>
      </c>
      <c r="M9" s="1421"/>
      <c r="W9" s="11">
        <v>34</v>
      </c>
    </row>
    <row r="10" spans="1:23" ht="35.700000000000003" customHeight="1">
      <c r="B10" s="1086" t="s">
        <v>693</v>
      </c>
      <c r="C10" s="1086" t="s">
        <v>694</v>
      </c>
      <c r="D10" s="1085" t="s">
        <v>630</v>
      </c>
      <c r="E10" s="1088" t="s">
        <v>631</v>
      </c>
      <c r="F10" s="1088" t="s">
        <v>631</v>
      </c>
      <c r="H10" s="28"/>
      <c r="I10" s="64" t="s">
        <v>110</v>
      </c>
      <c r="J10" s="1017" t="s">
        <v>695</v>
      </c>
      <c r="K10" s="399" t="s">
        <v>310</v>
      </c>
      <c r="L10" s="228"/>
      <c r="M10" s="114" t="s">
        <v>696</v>
      </c>
      <c r="W10" s="11">
        <v>34</v>
      </c>
    </row>
    <row r="11" spans="1:23" ht="50.25" customHeight="1">
      <c r="B11" s="1086" t="s">
        <v>697</v>
      </c>
      <c r="C11" s="1086" t="s">
        <v>698</v>
      </c>
      <c r="D11" s="1085" t="s">
        <v>630</v>
      </c>
      <c r="E11" s="1088" t="s">
        <v>631</v>
      </c>
      <c r="F11" s="1088" t="s">
        <v>631</v>
      </c>
      <c r="H11" s="28"/>
      <c r="I11" s="64" t="s">
        <v>111</v>
      </c>
      <c r="J11" s="1017" t="s">
        <v>699</v>
      </c>
      <c r="K11" s="399" t="s">
        <v>310</v>
      </c>
      <c r="L11" s="228"/>
      <c r="M11" s="114" t="s">
        <v>696</v>
      </c>
      <c r="W11" s="11">
        <v>48</v>
      </c>
    </row>
    <row r="12" spans="1:23" ht="48.3" customHeight="1">
      <c r="B12" s="1086" t="s">
        <v>700</v>
      </c>
      <c r="C12" s="1086" t="s">
        <v>701</v>
      </c>
      <c r="D12" s="1085" t="s">
        <v>630</v>
      </c>
      <c r="E12" s="1088" t="s">
        <v>631</v>
      </c>
      <c r="F12" s="1088" t="s">
        <v>631</v>
      </c>
      <c r="H12" s="23"/>
      <c r="I12" s="64" t="s">
        <v>91</v>
      </c>
      <c r="J12" s="123" t="s">
        <v>702</v>
      </c>
      <c r="K12" s="399" t="s">
        <v>310</v>
      </c>
      <c r="L12" s="228"/>
      <c r="M12" s="114" t="s">
        <v>703</v>
      </c>
      <c r="N12" s="69"/>
      <c r="P12" s="11"/>
      <c r="W12" s="11">
        <v>46</v>
      </c>
    </row>
    <row r="13" spans="1:23" ht="14.7" customHeight="1">
      <c r="E13" s="34"/>
      <c r="H13" s="28"/>
      <c r="I13" s="40"/>
      <c r="J13" s="52" t="s">
        <v>704</v>
      </c>
      <c r="K13" s="111"/>
      <c r="L13" s="108"/>
      <c r="M13" s="114"/>
      <c r="W13" s="11">
        <v>14</v>
      </c>
    </row>
    <row r="14" spans="1:23" ht="14.7" customHeight="1">
      <c r="E14" s="34"/>
      <c r="H14" s="28"/>
      <c r="I14" s="225"/>
      <c r="J14" s="902"/>
      <c r="K14" s="903"/>
      <c r="L14" s="904"/>
      <c r="M14" s="373"/>
      <c r="W14" s="11">
        <v>14</v>
      </c>
    </row>
    <row r="15" spans="1:23" ht="14.7" customHeight="1">
      <c r="I15" s="198"/>
      <c r="J15" s="1293"/>
      <c r="K15" s="1293"/>
      <c r="L15" s="1293"/>
      <c r="M15" s="1293"/>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572" hidden="1" customWidth="1"/>
    <col min="2" max="2" width="16.875" style="63" hidden="1" customWidth="1"/>
    <col min="3" max="3" width="5.625" style="68" hidden="1" customWidth="1"/>
    <col min="4" max="4" width="3" style="11" customWidth="1"/>
    <col min="5" max="5" width="7" style="11" customWidth="1"/>
    <col min="6" max="6" width="56" style="11" customWidth="1"/>
    <col min="7" max="7" width="10" style="11" customWidth="1"/>
    <col min="8" max="8" width="40.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37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1.5" customHeight="1">
      <c r="E6" s="1226" t="s">
        <v>706</v>
      </c>
      <c r="F6" s="1226"/>
      <c r="G6" s="1226"/>
      <c r="H6" s="1226"/>
      <c r="I6" s="1226"/>
      <c r="J6" s="59"/>
      <c r="AF6" s="11">
        <v>30</v>
      </c>
    </row>
    <row r="7" spans="1:32" ht="11.55" customHeight="1">
      <c r="E7" s="1247" t="str">
        <f>IF(org=0,"Не определено",org)</f>
        <v>АО "Юграавиа"</v>
      </c>
      <c r="F7" s="1247"/>
      <c r="G7" s="1247"/>
      <c r="H7" s="1247"/>
      <c r="I7" s="1247"/>
      <c r="AF7" s="11">
        <v>11</v>
      </c>
    </row>
    <row r="8" spans="1:32" ht="11.55" customHeight="1">
      <c r="E8" s="668"/>
      <c r="F8" s="668"/>
      <c r="G8" s="668"/>
      <c r="H8" s="668"/>
      <c r="I8" s="668"/>
      <c r="AF8" s="11">
        <v>11</v>
      </c>
    </row>
    <row r="9" spans="1:32" s="68" customFormat="1" ht="4.2" customHeight="1">
      <c r="A9" s="313"/>
      <c r="H9" s="514"/>
      <c r="I9" s="514" t="s">
        <v>118</v>
      </c>
      <c r="AF9" s="68">
        <v>4</v>
      </c>
    </row>
    <row r="10" spans="1:32" ht="11.55" customHeight="1">
      <c r="E10" s="409"/>
      <c r="F10" s="1404" t="s">
        <v>106</v>
      </c>
      <c r="G10" s="1405"/>
      <c r="H10" s="858" t="str">
        <f>IF(H9="","",INDEX(DIFFERENTIATION_UNMERGE_VD,MATCH(H9,DIFFERENTIATION_ID_DIFF,0)))</f>
        <v/>
      </c>
      <c r="I10" s="858">
        <f>IF(I9="","",INDEX(DIFFERENTIATION_UNMERGE_VD,MATCH(I9,DIFFERENTIATION_ID_DIFF,0)))</f>
        <v>0</v>
      </c>
      <c r="J10" s="1158"/>
      <c r="AF10" s="11">
        <v>11</v>
      </c>
    </row>
    <row r="11" spans="1:32" ht="11.55" customHeight="1">
      <c r="E11" s="409"/>
      <c r="F11" s="1404" t="s">
        <v>567</v>
      </c>
      <c r="G11" s="1405"/>
      <c r="H11" s="858" t="str">
        <f>IF(H9="","",INDEX(DIFFERENTIATION_UNMERGE_AREA,MATCH(H9,DIFFERENTIATION_ID_DIFF,0)))</f>
        <v/>
      </c>
      <c r="I11" s="858" t="str">
        <f>IF(I9="","",INDEX(DIFFERENTIATION_UNMERGE_AREA,MATCH(I9,DIFFERENTIATION_ID_DIFF,0)))</f>
        <v/>
      </c>
      <c r="J11" s="1158"/>
      <c r="AF11" s="11">
        <v>11</v>
      </c>
    </row>
    <row r="12" spans="1:32" ht="1.05" customHeight="1">
      <c r="E12" s="896"/>
      <c r="F12" s="1422" t="s">
        <v>568</v>
      </c>
      <c r="G12" s="1423"/>
      <c r="H12" s="897" t="str">
        <f>IF(H9="","",INDEX(DIFFERENTIATION_UNMERGE_SYSTEM,MATCH(H9,DIFFERENTIATION_ID_DIFF,0)))</f>
        <v/>
      </c>
      <c r="I12" s="897" t="str">
        <f>IF(I9="","",INDEX(DIFFERENTIATION_UNMERGE_SYSTEM,MATCH(I9,DIFFERENTIATION_ID_DIFF,0)))</f>
        <v>без дифференциации</v>
      </c>
      <c r="J12" s="1158"/>
      <c r="AF12" s="11">
        <v>1</v>
      </c>
    </row>
    <row r="13" spans="1:32" ht="11.55" customHeight="1">
      <c r="E13" s="1406" t="s">
        <v>304</v>
      </c>
      <c r="F13" s="1407"/>
      <c r="G13" s="1407"/>
      <c r="H13" s="512"/>
      <c r="I13" s="512"/>
      <c r="J13" s="1158"/>
      <c r="AF13" s="11">
        <v>11</v>
      </c>
    </row>
    <row r="14" spans="1:32" ht="24" customHeight="1">
      <c r="E14" s="41" t="s">
        <v>89</v>
      </c>
      <c r="F14" s="41" t="s">
        <v>306</v>
      </c>
      <c r="G14" s="41" t="s">
        <v>569</v>
      </c>
      <c r="H14" s="41" t="s">
        <v>307</v>
      </c>
      <c r="I14" s="41" t="s">
        <v>307</v>
      </c>
      <c r="J14" s="1158"/>
      <c r="AF14" s="11">
        <v>23</v>
      </c>
    </row>
    <row r="15" spans="1:32" ht="19.95" customHeight="1">
      <c r="D15" s="55"/>
      <c r="E15" s="894" t="s">
        <v>110</v>
      </c>
      <c r="F15" s="153" t="s">
        <v>707</v>
      </c>
      <c r="G15" s="41" t="s">
        <v>555</v>
      </c>
      <c r="H15" s="321"/>
      <c r="I15" s="321"/>
      <c r="J15" s="67" t="s">
        <v>708</v>
      </c>
      <c r="K15" s="308" t="s">
        <v>633</v>
      </c>
      <c r="AF15" s="11">
        <v>19</v>
      </c>
    </row>
    <row r="16" spans="1:32" ht="35.700000000000003" customHeight="1">
      <c r="D16" s="55"/>
      <c r="E16" s="894" t="s">
        <v>111</v>
      </c>
      <c r="F16" s="153" t="s">
        <v>709</v>
      </c>
      <c r="G16" s="41" t="s">
        <v>555</v>
      </c>
      <c r="H16" s="322">
        <f>SUM(H17,H20:H32)</f>
        <v>0</v>
      </c>
      <c r="I16" s="322">
        <f>SUM(I17,I20,I23,I26,I29:I32)</f>
        <v>0</v>
      </c>
      <c r="J16" s="67" t="s">
        <v>710</v>
      </c>
      <c r="K16" s="308" t="s">
        <v>633</v>
      </c>
      <c r="AF16" s="11">
        <v>34</v>
      </c>
    </row>
    <row r="17" spans="1:32" ht="19.95"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700000000000003" customHeight="1">
      <c r="D19" s="55"/>
      <c r="E19" s="898" t="s">
        <v>717</v>
      </c>
      <c r="F19" s="338" t="s">
        <v>718</v>
      </c>
      <c r="G19" s="395" t="s">
        <v>555</v>
      </c>
      <c r="H19" s="321"/>
      <c r="I19" s="321"/>
      <c r="J19" s="67"/>
      <c r="K19" s="308"/>
      <c r="AF19" s="11">
        <v>34</v>
      </c>
    </row>
    <row r="20" spans="1:32" ht="19.95" customHeight="1">
      <c r="D20" s="55"/>
      <c r="E20" s="898" t="s">
        <v>311</v>
      </c>
      <c r="F20" s="323" t="s">
        <v>719</v>
      </c>
      <c r="G20" s="395" t="s">
        <v>555</v>
      </c>
      <c r="H20" s="321"/>
      <c r="I20" s="321"/>
      <c r="J20" s="67" t="s">
        <v>720</v>
      </c>
      <c r="K20" s="308"/>
      <c r="AF20" s="11">
        <v>19</v>
      </c>
    </row>
    <row r="21" spans="1:32" ht="19.95" customHeight="1">
      <c r="D21" s="55"/>
      <c r="E21" s="898" t="s">
        <v>721</v>
      </c>
      <c r="F21" s="338" t="s">
        <v>722</v>
      </c>
      <c r="G21" s="395" t="s">
        <v>555</v>
      </c>
      <c r="H21" s="321"/>
      <c r="I21" s="321"/>
      <c r="J21" s="67"/>
      <c r="K21" s="308"/>
      <c r="AF21" s="11">
        <v>19</v>
      </c>
    </row>
    <row r="22" spans="1:32" ht="19.95" customHeight="1">
      <c r="D22" s="55"/>
      <c r="E22" s="898" t="s">
        <v>723</v>
      </c>
      <c r="F22" s="338" t="s">
        <v>724</v>
      </c>
      <c r="G22" s="395" t="s">
        <v>555</v>
      </c>
      <c r="H22" s="321"/>
      <c r="I22" s="321"/>
      <c r="J22" s="67"/>
      <c r="K22" s="308"/>
      <c r="AF22" s="11">
        <v>19</v>
      </c>
    </row>
    <row r="23" spans="1:32" ht="24" customHeight="1">
      <c r="D23" s="55"/>
      <c r="E23" s="898" t="s">
        <v>314</v>
      </c>
      <c r="F23" s="323" t="s">
        <v>725</v>
      </c>
      <c r="G23" s="395" t="s">
        <v>555</v>
      </c>
      <c r="H23" s="321"/>
      <c r="I23" s="321"/>
      <c r="J23" s="67" t="s">
        <v>726</v>
      </c>
      <c r="K23" s="308"/>
      <c r="AF23" s="11">
        <v>23</v>
      </c>
    </row>
    <row r="24" spans="1:32" ht="19.95" customHeight="1">
      <c r="D24" s="55"/>
      <c r="E24" s="898" t="s">
        <v>727</v>
      </c>
      <c r="F24" s="338" t="s">
        <v>728</v>
      </c>
      <c r="G24" s="395" t="s">
        <v>555</v>
      </c>
      <c r="H24" s="321"/>
      <c r="I24" s="321"/>
      <c r="J24" s="67"/>
      <c r="K24" s="308"/>
      <c r="AF24" s="11">
        <v>19</v>
      </c>
    </row>
    <row r="25" spans="1:32" ht="35.700000000000003"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95" customHeight="1">
      <c r="D27" s="55"/>
      <c r="E27" s="900" t="s">
        <v>734</v>
      </c>
      <c r="F27" s="338" t="s">
        <v>735</v>
      </c>
      <c r="G27" s="395" t="s">
        <v>555</v>
      </c>
      <c r="H27" s="901"/>
      <c r="I27" s="901"/>
      <c r="J27" s="67"/>
      <c r="K27" s="308"/>
      <c r="AF27" s="11">
        <v>19</v>
      </c>
    </row>
    <row r="28" spans="1:32" ht="19.95" customHeight="1">
      <c r="D28" s="55"/>
      <c r="E28" s="900" t="s">
        <v>736</v>
      </c>
      <c r="F28" s="338" t="s">
        <v>737</v>
      </c>
      <c r="G28" s="395" t="s">
        <v>555</v>
      </c>
      <c r="H28" s="901"/>
      <c r="I28" s="901"/>
      <c r="J28" s="67"/>
      <c r="K28" s="308"/>
      <c r="AF28" s="11">
        <v>19</v>
      </c>
    </row>
    <row r="29" spans="1:32" ht="19.95" customHeight="1">
      <c r="D29" s="55"/>
      <c r="E29" s="900" t="s">
        <v>738</v>
      </c>
      <c r="F29" s="323" t="s">
        <v>739</v>
      </c>
      <c r="G29" s="395" t="s">
        <v>555</v>
      </c>
      <c r="H29" s="901"/>
      <c r="I29" s="901"/>
      <c r="J29" s="67"/>
      <c r="K29" s="308"/>
      <c r="AF29" s="11">
        <v>19</v>
      </c>
    </row>
    <row r="30" spans="1:32" ht="19.95" customHeight="1">
      <c r="D30" s="55"/>
      <c r="E30" s="900" t="s">
        <v>740</v>
      </c>
      <c r="F30" s="323" t="s">
        <v>741</v>
      </c>
      <c r="G30" s="395" t="s">
        <v>555</v>
      </c>
      <c r="H30" s="901"/>
      <c r="I30" s="901"/>
      <c r="J30" s="67"/>
      <c r="K30" s="308"/>
      <c r="AF30" s="11">
        <v>19</v>
      </c>
    </row>
    <row r="31" spans="1:32" ht="19.95" customHeight="1">
      <c r="D31" s="55"/>
      <c r="E31" s="900" t="s">
        <v>742</v>
      </c>
      <c r="F31" s="323" t="s">
        <v>743</v>
      </c>
      <c r="G31" s="395" t="s">
        <v>555</v>
      </c>
      <c r="H31" s="901"/>
      <c r="I31" s="901"/>
      <c r="J31" s="67"/>
      <c r="K31" s="308"/>
      <c r="AF31" s="11">
        <v>19</v>
      </c>
    </row>
    <row r="32" spans="1:32" s="63" customFormat="1" ht="35.700000000000003"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05" customHeight="1">
      <c r="A33" s="313"/>
      <c r="D33" s="313"/>
      <c r="E33" s="316" t="str">
        <f>E32&amp;".0"</f>
        <v>2.8.0</v>
      </c>
      <c r="F33" s="576"/>
      <c r="G33" s="316"/>
      <c r="H33" s="577"/>
      <c r="I33" s="577"/>
      <c r="J33" s="578"/>
      <c r="AF33" s="68">
        <v>1</v>
      </c>
    </row>
    <row r="34" spans="1:32" s="63" customFormat="1" ht="19.95"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91</v>
      </c>
      <c r="F36" s="153" t="s">
        <v>751</v>
      </c>
      <c r="G36" s="395" t="s">
        <v>555</v>
      </c>
      <c r="H36" s="321"/>
      <c r="I36" s="321"/>
      <c r="J36" s="67" t="s">
        <v>752</v>
      </c>
      <c r="K36" s="308"/>
      <c r="L36" s="68"/>
      <c r="M36" s="68"/>
      <c r="R36" s="68"/>
      <c r="U36" s="309"/>
      <c r="AA36" s="8"/>
      <c r="AB36" s="8"/>
      <c r="AC36" s="8"/>
      <c r="AD36" s="8"/>
      <c r="AE36" s="8"/>
      <c r="AF36" s="63">
        <v>23</v>
      </c>
    </row>
    <row r="37" spans="1:32" s="63" customFormat="1" ht="35.700000000000003" customHeight="1">
      <c r="A37" s="574"/>
      <c r="C37" s="68"/>
      <c r="D37" s="55"/>
      <c r="E37" s="898" t="s">
        <v>328</v>
      </c>
      <c r="F37" s="323" t="s">
        <v>753</v>
      </c>
      <c r="G37" s="395"/>
      <c r="H37" s="321"/>
      <c r="I37" s="321"/>
      <c r="J37" s="67"/>
      <c r="K37" s="308"/>
      <c r="L37" s="68"/>
      <c r="M37" s="68"/>
      <c r="R37" s="68"/>
      <c r="U37" s="309"/>
      <c r="AA37" s="8"/>
      <c r="AB37" s="8"/>
      <c r="AC37" s="8"/>
      <c r="AD37" s="8"/>
      <c r="AE37" s="8"/>
      <c r="AF37" s="63">
        <v>34</v>
      </c>
    </row>
    <row r="38" spans="1:32" s="63" customFormat="1" ht="19.95" customHeight="1">
      <c r="A38" s="572"/>
      <c r="C38" s="68"/>
      <c r="D38" s="337"/>
      <c r="E38" s="898" t="s">
        <v>92</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700000000000003" customHeight="1">
      <c r="A43" s="572"/>
      <c r="C43" s="68" t="s">
        <v>591</v>
      </c>
      <c r="D43" s="55"/>
      <c r="E43" s="898" t="s">
        <v>112</v>
      </c>
      <c r="F43" s="153" t="s">
        <v>632</v>
      </c>
      <c r="G43" s="41" t="s">
        <v>768</v>
      </c>
      <c r="H43" s="228"/>
      <c r="I43" s="228"/>
      <c r="J43" s="67" t="s">
        <v>769</v>
      </c>
      <c r="K43" s="308"/>
      <c r="L43" s="68"/>
      <c r="M43" s="68"/>
      <c r="R43" s="68"/>
      <c r="U43" s="309"/>
      <c r="AA43" s="8"/>
      <c r="AB43" s="8"/>
      <c r="AC43" s="8"/>
      <c r="AD43" s="8"/>
      <c r="AE43" s="8"/>
      <c r="AF43" s="63">
        <v>34</v>
      </c>
    </row>
    <row r="44" spans="1:32" s="63" customFormat="1" ht="35.700000000000003" customHeight="1">
      <c r="A44" s="572"/>
      <c r="C44" s="68"/>
      <c r="D44" s="55"/>
      <c r="E44" s="898" t="s">
        <v>93</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94</v>
      </c>
      <c r="F45" s="153" t="s">
        <v>773</v>
      </c>
      <c r="G45" s="395" t="s">
        <v>774</v>
      </c>
      <c r="H45" s="310"/>
      <c r="I45" s="310"/>
      <c r="J45" s="67" t="s">
        <v>775</v>
      </c>
      <c r="K45" s="308"/>
      <c r="L45" s="68"/>
      <c r="M45" s="68"/>
      <c r="R45" s="68"/>
      <c r="U45" s="309"/>
      <c r="AA45" s="8"/>
      <c r="AB45" s="8"/>
      <c r="AC45" s="8"/>
      <c r="AD45" s="8"/>
      <c r="AE45" s="8"/>
      <c r="AF45" s="63">
        <v>23</v>
      </c>
    </row>
    <row r="46" spans="1:32" s="63" customFormat="1" ht="19.95" customHeight="1">
      <c r="A46" s="572"/>
      <c r="C46" s="68"/>
      <c r="D46" s="55"/>
      <c r="E46" s="898" t="s">
        <v>113</v>
      </c>
      <c r="F46" s="153" t="s">
        <v>776</v>
      </c>
      <c r="G46" s="395" t="s">
        <v>593</v>
      </c>
      <c r="H46" s="339"/>
      <c r="I46" s="339"/>
      <c r="J46" s="67"/>
      <c r="K46" s="308"/>
      <c r="L46" s="68"/>
      <c r="M46" s="68"/>
      <c r="R46" s="68"/>
      <c r="U46" s="309"/>
      <c r="AA46" s="8"/>
      <c r="AB46" s="8"/>
      <c r="AC46" s="8"/>
      <c r="AD46" s="8"/>
      <c r="AE46" s="8"/>
      <c r="AF46" s="63">
        <v>19</v>
      </c>
    </row>
    <row r="47" spans="1:32" ht="11.55" customHeight="1">
      <c r="D47" s="55"/>
      <c r="AF47" s="11">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55" customHeight="1">
      <c r="AF203" s="11">
        <v>11</v>
      </c>
    </row>
    <row r="204" spans="1:32" ht="11.55" customHeight="1">
      <c r="AF204" s="11">
        <v>11</v>
      </c>
    </row>
    <row r="205" spans="1:32" ht="11.55" customHeight="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5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5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5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5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5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5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5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572" hidden="1" customWidth="1"/>
    <col min="2" max="2" width="16.875" style="63" hidden="1" customWidth="1"/>
    <col min="3" max="3" width="5.625" style="68" hidden="1" customWidth="1"/>
    <col min="4" max="4" width="3" style="11" customWidth="1"/>
    <col min="5" max="5" width="7" style="11" customWidth="1"/>
    <col min="6" max="6" width="54" style="11" customWidth="1"/>
    <col min="7" max="7" width="10" style="11" customWidth="1"/>
    <col min="8" max="8" width="40.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3.75" customHeight="1">
      <c r="E6" s="1275" t="s">
        <v>777</v>
      </c>
      <c r="F6" s="1275"/>
      <c r="G6" s="1275"/>
      <c r="H6" s="1275"/>
      <c r="I6" s="1275"/>
      <c r="J6" s="59"/>
      <c r="AF6" s="11">
        <v>32</v>
      </c>
    </row>
    <row r="7" spans="1:32" ht="25.2" customHeight="1">
      <c r="E7" s="1247" t="str">
        <f>IF(org=0,"Не определено",org)</f>
        <v>АО "Юграавиа"</v>
      </c>
      <c r="F7" s="1247"/>
      <c r="G7" s="1247"/>
      <c r="H7" s="1247"/>
      <c r="I7" s="1247"/>
      <c r="AF7" s="11">
        <v>24</v>
      </c>
    </row>
    <row r="8" spans="1:32" ht="11.55" customHeight="1">
      <c r="E8" s="668"/>
      <c r="F8" s="668"/>
      <c r="G8" s="668"/>
      <c r="H8" s="668"/>
      <c r="I8" s="668"/>
      <c r="AF8" s="11">
        <v>11</v>
      </c>
    </row>
    <row r="9" spans="1:32" s="68" customFormat="1" ht="1.05" customHeight="1">
      <c r="A9" s="313"/>
      <c r="H9" s="514"/>
      <c r="I9" s="514" t="s">
        <v>118</v>
      </c>
      <c r="AF9" s="68">
        <v>1</v>
      </c>
    </row>
    <row r="10" spans="1:32" ht="11.55" customHeight="1">
      <c r="E10" s="409"/>
      <c r="F10" s="1404" t="s">
        <v>106</v>
      </c>
      <c r="G10" s="1405"/>
      <c r="H10" s="858" t="str">
        <f>IF(H9="","",INDEX(DIFFERENTIATION_UNMERGE_VD,MATCH(H9,DIFFERENTIATION_ID_DIFF,0)))</f>
        <v/>
      </c>
      <c r="I10" s="858">
        <f>IF(I9="","",INDEX(DIFFERENTIATION_UNMERGE_VD,MATCH(I9,DIFFERENTIATION_ID_DIFF,0)))</f>
        <v>0</v>
      </c>
      <c r="J10" s="1158"/>
      <c r="AF10" s="11">
        <v>11</v>
      </c>
    </row>
    <row r="11" spans="1:32" ht="11.55" customHeight="1">
      <c r="E11" s="409"/>
      <c r="F11" s="1404" t="s">
        <v>567</v>
      </c>
      <c r="G11" s="1405"/>
      <c r="H11" s="858" t="str">
        <f>IF(H9="","",INDEX(DIFFERENTIATION_UNMERGE_AREA,MATCH(H9,DIFFERENTIATION_ID_DIFF,0)))</f>
        <v/>
      </c>
      <c r="I11" s="858" t="str">
        <f>IF(I9="","",INDEX(DIFFERENTIATION_UNMERGE_AREA,MATCH(I9,DIFFERENTIATION_ID_DIFF,0)))</f>
        <v/>
      </c>
      <c r="J11" s="1158"/>
      <c r="AF11" s="11">
        <v>11</v>
      </c>
    </row>
    <row r="12" spans="1:32" ht="11.25" hidden="1" customHeight="1">
      <c r="E12" s="896"/>
      <c r="F12" s="1422" t="s">
        <v>568</v>
      </c>
      <c r="G12" s="1423"/>
      <c r="H12" s="897" t="str">
        <f>IF(H9="","",INDEX(DIFFERENTIATION_UNMERGE_SYSTEM,MATCH(H9,DIFFERENTIATION_ID_DIFF,0)))</f>
        <v/>
      </c>
      <c r="I12" s="897" t="str">
        <f>IF(I9="","",INDEX(DIFFERENTIATION_UNMERGE_SYSTEM,MATCH(I9,DIFFERENTIATION_ID_DIFF,0)))</f>
        <v>без дифференциации</v>
      </c>
      <c r="J12" s="1158"/>
      <c r="AF12" s="11">
        <v>0</v>
      </c>
    </row>
    <row r="13" spans="1:32" ht="11.55" customHeight="1">
      <c r="E13" s="1406" t="s">
        <v>304</v>
      </c>
      <c r="F13" s="1407"/>
      <c r="G13" s="1407"/>
      <c r="H13" s="512"/>
      <c r="I13" s="512"/>
      <c r="J13" s="1158"/>
      <c r="AF13" s="11">
        <v>11</v>
      </c>
    </row>
    <row r="14" spans="1:32" ht="24" customHeight="1">
      <c r="E14" s="41" t="s">
        <v>89</v>
      </c>
      <c r="F14" s="41" t="s">
        <v>306</v>
      </c>
      <c r="G14" s="41" t="s">
        <v>569</v>
      </c>
      <c r="H14" s="41" t="s">
        <v>307</v>
      </c>
      <c r="I14" s="41" t="s">
        <v>307</v>
      </c>
      <c r="J14" s="1158"/>
      <c r="AF14" s="11">
        <v>23</v>
      </c>
    </row>
    <row r="15" spans="1:32" ht="19.95" customHeight="1">
      <c r="D15" s="55"/>
      <c r="E15" s="894" t="s">
        <v>110</v>
      </c>
      <c r="F15" s="153" t="s">
        <v>778</v>
      </c>
      <c r="G15" s="41" t="s">
        <v>555</v>
      </c>
      <c r="H15" s="321"/>
      <c r="I15" s="321"/>
      <c r="J15" s="67" t="s">
        <v>779</v>
      </c>
      <c r="K15" s="308" t="s">
        <v>633</v>
      </c>
      <c r="AF15" s="11">
        <v>19</v>
      </c>
    </row>
    <row r="16" spans="1:32" ht="24" customHeight="1">
      <c r="D16" s="55"/>
      <c r="E16" s="894" t="s">
        <v>111</v>
      </c>
      <c r="F16" s="878" t="s">
        <v>780</v>
      </c>
      <c r="G16" s="41" t="s">
        <v>555</v>
      </c>
      <c r="H16" s="322">
        <f>SUM(H17,H20:H27)</f>
        <v>0</v>
      </c>
      <c r="I16" s="322">
        <f>SUM(I17,I20:I27)</f>
        <v>0</v>
      </c>
      <c r="J16" s="67" t="s">
        <v>781</v>
      </c>
      <c r="K16" s="308" t="s">
        <v>633</v>
      </c>
      <c r="AF16" s="11">
        <v>23</v>
      </c>
    </row>
    <row r="17" spans="1:32" ht="35.700000000000003" customHeight="1">
      <c r="D17" s="55"/>
      <c r="E17" s="898" t="s">
        <v>711</v>
      </c>
      <c r="F17" s="394" t="s">
        <v>782</v>
      </c>
      <c r="G17" s="395" t="s">
        <v>555</v>
      </c>
      <c r="H17" s="321"/>
      <c r="I17" s="321"/>
      <c r="J17" s="67" t="s">
        <v>783</v>
      </c>
      <c r="K17" s="308"/>
      <c r="AF17" s="11">
        <v>34</v>
      </c>
    </row>
    <row r="18" spans="1:32" ht="19.95"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700000000000003" customHeight="1">
      <c r="D20" s="55"/>
      <c r="E20" s="898" t="s">
        <v>311</v>
      </c>
      <c r="F20" s="394" t="s">
        <v>786</v>
      </c>
      <c r="G20" s="395" t="s">
        <v>555</v>
      </c>
      <c r="H20" s="321"/>
      <c r="I20" s="321"/>
      <c r="J20" s="67"/>
      <c r="K20" s="308"/>
      <c r="AF20" s="11">
        <v>34</v>
      </c>
    </row>
    <row r="21" spans="1:32" ht="48.3" customHeight="1">
      <c r="D21" s="55"/>
      <c r="E21" s="898" t="s">
        <v>314</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700000000000003" customHeight="1">
      <c r="D23" s="55"/>
      <c r="E23" s="898" t="s">
        <v>738</v>
      </c>
      <c r="F23" s="394" t="s">
        <v>789</v>
      </c>
      <c r="G23" s="395" t="s">
        <v>555</v>
      </c>
      <c r="H23" s="321"/>
      <c r="I23" s="321"/>
      <c r="J23" s="67"/>
      <c r="K23" s="308"/>
      <c r="AF23" s="11">
        <v>34</v>
      </c>
    </row>
    <row r="24" spans="1:32" ht="35.700000000000003"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700000000000003"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05" customHeight="1">
      <c r="A28" s="313"/>
      <c r="D28" s="313"/>
      <c r="E28" s="316" t="str">
        <f>E27&amp;".0"</f>
        <v>2.9.0</v>
      </c>
      <c r="F28" s="576"/>
      <c r="G28" s="316"/>
      <c r="H28" s="577"/>
      <c r="I28" s="577"/>
      <c r="J28" s="578"/>
      <c r="AF28" s="68">
        <v>1</v>
      </c>
    </row>
    <row r="29" spans="1:32" s="63" customFormat="1" ht="19.95"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91</v>
      </c>
      <c r="F30" s="397" t="s">
        <v>794</v>
      </c>
      <c r="G30" s="395" t="s">
        <v>555</v>
      </c>
      <c r="H30" s="321"/>
      <c r="I30" s="321"/>
      <c r="J30" s="67"/>
      <c r="K30" s="308"/>
      <c r="L30" s="68"/>
      <c r="M30" s="68"/>
      <c r="R30" s="68"/>
      <c r="U30" s="309"/>
      <c r="AA30" s="8"/>
      <c r="AB30" s="8"/>
      <c r="AC30" s="8"/>
      <c r="AD30" s="8"/>
      <c r="AE30" s="8"/>
      <c r="AF30" s="63">
        <v>23</v>
      </c>
    </row>
    <row r="31" spans="1:32" s="63" customFormat="1" ht="35.700000000000003" customHeight="1">
      <c r="A31" s="572"/>
      <c r="C31" s="68"/>
      <c r="D31" s="337"/>
      <c r="E31" s="898" t="s">
        <v>92</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700000000000003" customHeight="1">
      <c r="A35" s="572"/>
      <c r="C35" s="68" t="s">
        <v>591</v>
      </c>
      <c r="D35" s="55"/>
      <c r="E35" s="898" t="s">
        <v>112</v>
      </c>
      <c r="F35" s="397" t="s">
        <v>632</v>
      </c>
      <c r="G35" s="41" t="s">
        <v>310</v>
      </c>
      <c r="H35" s="228"/>
      <c r="I35" s="228"/>
      <c r="J35" s="67" t="s">
        <v>803</v>
      </c>
      <c r="K35" s="308"/>
      <c r="L35" s="68"/>
      <c r="M35" s="68"/>
      <c r="R35" s="68"/>
      <c r="U35" s="309"/>
      <c r="AA35" s="8"/>
      <c r="AB35" s="8"/>
      <c r="AC35" s="8"/>
      <c r="AD35" s="8"/>
      <c r="AE35" s="8"/>
      <c r="AF35" s="63">
        <v>34</v>
      </c>
    </row>
    <row r="36" spans="1:32" s="63" customFormat="1" ht="35.700000000000003" customHeight="1">
      <c r="A36" s="572"/>
      <c r="C36" s="68"/>
      <c r="D36" s="55"/>
      <c r="E36" s="898" t="s">
        <v>93</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94</v>
      </c>
      <c r="F37" s="397" t="s">
        <v>805</v>
      </c>
      <c r="G37" s="395" t="s">
        <v>774</v>
      </c>
      <c r="H37" s="310"/>
      <c r="I37" s="310"/>
      <c r="J37" s="67" t="s">
        <v>775</v>
      </c>
      <c r="K37" s="308"/>
      <c r="L37" s="68"/>
      <c r="M37" s="68"/>
      <c r="R37" s="68"/>
      <c r="U37" s="309"/>
      <c r="AA37" s="8"/>
      <c r="AB37" s="8"/>
      <c r="AC37" s="8"/>
      <c r="AD37" s="8"/>
      <c r="AE37" s="8"/>
      <c r="AF37" s="63">
        <v>23</v>
      </c>
    </row>
    <row r="38" spans="1:32" ht="11.55" customHeight="1">
      <c r="D38" s="55"/>
      <c r="AF38" s="11">
        <v>11</v>
      </c>
    </row>
    <row r="39" spans="1:32" ht="27.3" customHeight="1">
      <c r="D39" s="55"/>
      <c r="E39" s="198" t="s">
        <v>806</v>
      </c>
      <c r="F39" s="1293" t="s">
        <v>807</v>
      </c>
      <c r="G39" s="1293"/>
      <c r="H39" s="4"/>
      <c r="I39" s="4"/>
      <c r="J39" s="4"/>
      <c r="AF39" s="11">
        <v>26</v>
      </c>
    </row>
    <row r="40" spans="1:32" s="203" customFormat="1" ht="39.75" customHeight="1">
      <c r="A40" s="572"/>
      <c r="B40" s="68"/>
      <c r="C40" s="68"/>
      <c r="F40" s="1293" t="s">
        <v>808</v>
      </c>
      <c r="G40" s="129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5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5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5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5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5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5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5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55" customHeight="1">
      <c r="AF196" s="11">
        <v>11</v>
      </c>
    </row>
    <row r="197" spans="1:32" ht="11.55" customHeight="1">
      <c r="AF197" s="11">
        <v>11</v>
      </c>
    </row>
    <row r="198" spans="1:32" ht="11.55" customHeight="1">
      <c r="AF198" s="11">
        <v>11</v>
      </c>
    </row>
    <row r="199" spans="1:32" ht="11.5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5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5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5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5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5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5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303" hidden="1" customWidth="1"/>
    <col min="2" max="2" width="3.6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6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2"/>
      <c r="F3" s="1153"/>
      <c r="X3" s="11">
        <v>75</v>
      </c>
    </row>
    <row r="4" spans="1:24" s="11" customFormat="1" ht="21" customHeight="1">
      <c r="A4" s="303"/>
      <c r="B4" s="68"/>
      <c r="D4" s="1269" t="str">
        <f>IF(org=0,"Не определено",org)</f>
        <v>АО "Юграавиа"</v>
      </c>
      <c r="E4" s="1270"/>
      <c r="F4" s="1271"/>
      <c r="X4" s="11">
        <v>20</v>
      </c>
    </row>
    <row r="5" spans="1:24" ht="11.55" customHeight="1">
      <c r="H5" s="435"/>
      <c r="J5" s="435"/>
      <c r="X5" s="11">
        <v>11</v>
      </c>
    </row>
    <row r="6" spans="1:24" ht="1.05" customHeight="1">
      <c r="E6" s="58"/>
      <c r="F6" s="356"/>
      <c r="G6" s="600"/>
      <c r="H6" s="600"/>
      <c r="I6" s="600" t="s">
        <v>118</v>
      </c>
      <c r="J6" s="600"/>
      <c r="X6" s="11">
        <v>1</v>
      </c>
    </row>
    <row r="7" spans="1:24" ht="11.55" customHeight="1">
      <c r="D7" s="409"/>
      <c r="E7" s="1404" t="s">
        <v>106</v>
      </c>
      <c r="F7" s="1405"/>
      <c r="G7" s="1424" t="str">
        <f>IF(G6="","",INDEX(DIFFERENTIATION_UNMERGE_VD,MATCH(G6,DIFFERENTIATION_ID_DIFF,0)))</f>
        <v/>
      </c>
      <c r="H7" s="1425"/>
      <c r="I7" s="1424">
        <f>IF(I6="","",INDEX(DIFFERENTIATION_UNMERGE_VD,MATCH(I6,DIFFERENTIATION_ID_DIFF,0)))</f>
        <v>0</v>
      </c>
      <c r="J7" s="1425"/>
      <c r="K7" s="1227"/>
      <c r="X7" s="11">
        <v>11</v>
      </c>
    </row>
    <row r="8" spans="1:24" ht="11.55" customHeight="1">
      <c r="D8" s="409"/>
      <c r="E8" s="1404" t="s">
        <v>567</v>
      </c>
      <c r="F8" s="1405"/>
      <c r="G8" s="1424" t="str">
        <f>IF(G6="","",INDEX(DIFFERENTIATION_UNMERGE_AREA,MATCH(G6,DIFFERENTIATION_ID_DIFF,0)))</f>
        <v/>
      </c>
      <c r="H8" s="1425"/>
      <c r="I8" s="1424" t="str">
        <f>IF(I6="","",INDEX(DIFFERENTIATION_UNMERGE_AREA,MATCH(I6,DIFFERENTIATION_ID_DIFF,0)))</f>
        <v/>
      </c>
      <c r="J8" s="1425"/>
      <c r="K8" s="1232"/>
      <c r="X8" s="11">
        <v>11</v>
      </c>
    </row>
    <row r="9" spans="1:24" ht="11.55" customHeight="1">
      <c r="D9" s="409"/>
      <c r="E9" s="1404" t="s">
        <v>568</v>
      </c>
      <c r="F9" s="1405"/>
      <c r="G9" s="1424" t="str">
        <f>IF(G6="","",INDEX(DIFFERENTIATION_UNMERGE_SYSTEM,MATCH(G6,DIFFERENTIATION_ID_DIFF,0)))</f>
        <v/>
      </c>
      <c r="H9" s="1425"/>
      <c r="I9" s="1424" t="str">
        <f>IF(I6="","",INDEX(DIFFERENTIATION_UNMERGE_SYSTEM,MATCH(I6,DIFFERENTIATION_ID_DIFF,0)))</f>
        <v>без дифференциации</v>
      </c>
      <c r="J9" s="1425"/>
      <c r="K9" s="1232"/>
      <c r="X9" s="11">
        <v>11</v>
      </c>
    </row>
    <row r="10" spans="1:24" s="11" customFormat="1" ht="11.55" customHeight="1">
      <c r="A10" s="303"/>
      <c r="B10" s="68"/>
      <c r="D10" s="1140" t="s">
        <v>304</v>
      </c>
      <c r="E10" s="1145"/>
      <c r="F10" s="1145"/>
      <c r="G10" s="1145"/>
      <c r="H10" s="1145"/>
      <c r="I10" s="1145"/>
      <c r="J10" s="1139"/>
      <c r="K10" s="1232"/>
      <c r="X10" s="11">
        <v>11</v>
      </c>
    </row>
    <row r="11" spans="1:24" s="11" customFormat="1" ht="24" customHeight="1">
      <c r="A11" s="1293"/>
      <c r="B11" s="1293"/>
      <c r="C11" s="4"/>
      <c r="D11" s="41" t="s">
        <v>89</v>
      </c>
      <c r="E11" s="41" t="s">
        <v>809</v>
      </c>
      <c r="F11" s="41" t="s">
        <v>569</v>
      </c>
      <c r="G11" s="41" t="s">
        <v>307</v>
      </c>
      <c r="H11" s="41" t="s">
        <v>394</v>
      </c>
      <c r="I11" s="41" t="s">
        <v>307</v>
      </c>
      <c r="J11" s="389" t="s">
        <v>394</v>
      </c>
      <c r="K11" s="1280"/>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426" t="s">
        <v>810</v>
      </c>
      <c r="D13" s="43" t="s">
        <v>110</v>
      </c>
      <c r="E13" s="153" t="s">
        <v>811</v>
      </c>
      <c r="F13" s="374" t="s">
        <v>812</v>
      </c>
      <c r="G13" s="321"/>
      <c r="H13" s="375"/>
      <c r="I13" s="321"/>
      <c r="J13" s="375"/>
      <c r="K13" s="67" t="s">
        <v>813</v>
      </c>
      <c r="L13" s="417"/>
      <c r="X13" s="11">
        <v>0</v>
      </c>
    </row>
    <row r="14" spans="1:24" ht="22.5" hidden="1" customHeight="1">
      <c r="A14" s="1426"/>
      <c r="D14" s="43" t="s">
        <v>111</v>
      </c>
      <c r="E14" s="153" t="s">
        <v>814</v>
      </c>
      <c r="F14" s="374" t="s">
        <v>815</v>
      </c>
      <c r="G14" s="321"/>
      <c r="H14" s="375"/>
      <c r="I14" s="321"/>
      <c r="J14" s="375"/>
      <c r="K14" s="67" t="s">
        <v>816</v>
      </c>
      <c r="L14" s="417"/>
      <c r="X14" s="11">
        <v>0</v>
      </c>
    </row>
    <row r="15" spans="1:24" s="11" customFormat="1" ht="78.75" hidden="1" customHeight="1">
      <c r="A15" s="1426"/>
      <c r="B15" s="68"/>
      <c r="D15" s="43" t="s">
        <v>91</v>
      </c>
      <c r="E15" s="153" t="s">
        <v>817</v>
      </c>
      <c r="F15" s="41" t="s">
        <v>310</v>
      </c>
      <c r="G15" s="41" t="s">
        <v>310</v>
      </c>
      <c r="H15" s="37"/>
      <c r="I15" s="41" t="s">
        <v>310</v>
      </c>
      <c r="J15" s="37"/>
      <c r="K15" s="67" t="s">
        <v>818</v>
      </c>
      <c r="L15" s="417"/>
      <c r="X15" s="11">
        <v>0</v>
      </c>
    </row>
    <row r="16" spans="1:24" s="11" customFormat="1" ht="22.5" hidden="1" customHeight="1">
      <c r="A16" s="1426"/>
      <c r="B16" s="68"/>
      <c r="D16" s="43" t="s">
        <v>328</v>
      </c>
      <c r="E16" s="323" t="s">
        <v>819</v>
      </c>
      <c r="F16" s="41" t="s">
        <v>820</v>
      </c>
      <c r="G16" s="468"/>
      <c r="H16" s="37"/>
      <c r="I16" s="468"/>
      <c r="J16" s="37"/>
      <c r="K16" s="67"/>
      <c r="L16" s="417"/>
      <c r="X16" s="11">
        <v>0</v>
      </c>
    </row>
    <row r="17" spans="1:24" s="11" customFormat="1" ht="22.5" hidden="1" customHeight="1">
      <c r="A17" s="1426"/>
      <c r="B17" s="68"/>
      <c r="D17" s="43" t="s">
        <v>336</v>
      </c>
      <c r="E17" s="323" t="s">
        <v>821</v>
      </c>
      <c r="F17" s="41" t="s">
        <v>822</v>
      </c>
      <c r="G17" s="468"/>
      <c r="H17" s="37"/>
      <c r="I17" s="468"/>
      <c r="J17" s="37"/>
      <c r="K17" s="67"/>
      <c r="L17" s="417"/>
      <c r="X17" s="11">
        <v>0</v>
      </c>
    </row>
    <row r="18" spans="1:24" s="11" customFormat="1" ht="33.75" hidden="1" customHeight="1">
      <c r="A18" s="1426"/>
      <c r="B18" s="68"/>
      <c r="D18" s="43" t="s">
        <v>338</v>
      </c>
      <c r="E18" s="323" t="s">
        <v>823</v>
      </c>
      <c r="F18" s="41" t="s">
        <v>574</v>
      </c>
      <c r="G18" s="386"/>
      <c r="H18" s="37"/>
      <c r="I18" s="386"/>
      <c r="J18" s="37"/>
      <c r="K18" s="67"/>
      <c r="L18" s="417"/>
      <c r="X18" s="11">
        <v>0</v>
      </c>
    </row>
    <row r="19" spans="1:24" ht="101.25" hidden="1" customHeight="1">
      <c r="A19" s="1426"/>
      <c r="D19" s="43" t="s">
        <v>92</v>
      </c>
      <c r="E19" s="153" t="s">
        <v>824</v>
      </c>
      <c r="F19" s="374" t="s">
        <v>549</v>
      </c>
      <c r="G19" s="217"/>
      <c r="H19" s="375"/>
      <c r="I19" s="217"/>
      <c r="J19" s="375"/>
      <c r="K19" s="67" t="s">
        <v>825</v>
      </c>
      <c r="L19" s="417"/>
      <c r="X19" s="11">
        <v>0</v>
      </c>
    </row>
    <row r="20" spans="1:24" s="11" customFormat="1" ht="18.75" hidden="1" customHeight="1">
      <c r="A20" s="1426"/>
      <c r="C20" s="77"/>
      <c r="D20" s="43" t="s">
        <v>756</v>
      </c>
      <c r="E20" s="323" t="s">
        <v>826</v>
      </c>
      <c r="F20" s="41" t="s">
        <v>310</v>
      </c>
      <c r="G20" s="41" t="s">
        <v>310</v>
      </c>
      <c r="H20" s="340" t="s">
        <v>310</v>
      </c>
      <c r="I20" s="41" t="s">
        <v>310</v>
      </c>
      <c r="J20" s="340" t="s">
        <v>310</v>
      </c>
      <c r="K20" s="389"/>
      <c r="L20" s="417"/>
      <c r="W20" s="302"/>
      <c r="X20" s="11">
        <v>0</v>
      </c>
    </row>
    <row r="21" spans="1:24" s="11" customFormat="1" ht="33.75" hidden="1" customHeight="1">
      <c r="A21" s="1426"/>
      <c r="C21" s="77"/>
      <c r="D21" s="43" t="s">
        <v>759</v>
      </c>
      <c r="E21" s="338" t="s">
        <v>827</v>
      </c>
      <c r="F21" s="41" t="s">
        <v>828</v>
      </c>
      <c r="G21" s="386"/>
      <c r="H21" s="37"/>
      <c r="I21" s="386"/>
      <c r="J21" s="37"/>
      <c r="K21" s="389"/>
      <c r="L21" s="417"/>
      <c r="W21" s="302"/>
      <c r="X21" s="11">
        <v>0</v>
      </c>
    </row>
    <row r="22" spans="1:24" s="11" customFormat="1" ht="33.75" hidden="1" customHeight="1">
      <c r="A22" s="1426"/>
      <c r="C22" s="77"/>
      <c r="D22" s="43" t="s">
        <v>762</v>
      </c>
      <c r="E22" s="338" t="s">
        <v>829</v>
      </c>
      <c r="F22" s="41" t="s">
        <v>830</v>
      </c>
      <c r="G22" s="386"/>
      <c r="H22" s="37"/>
      <c r="I22" s="386"/>
      <c r="J22" s="37"/>
      <c r="K22" s="389"/>
      <c r="L22" s="417"/>
      <c r="W22" s="302"/>
      <c r="X22" s="11">
        <v>0</v>
      </c>
    </row>
    <row r="23" spans="1:24" s="11" customFormat="1" ht="22.5" hidden="1" customHeight="1">
      <c r="A23" s="1426"/>
      <c r="C23" s="77"/>
      <c r="D23" s="43" t="s">
        <v>798</v>
      </c>
      <c r="E23" s="323" t="s">
        <v>831</v>
      </c>
      <c r="F23" s="41" t="s">
        <v>310</v>
      </c>
      <c r="G23" s="41" t="s">
        <v>310</v>
      </c>
      <c r="H23" s="340" t="s">
        <v>310</v>
      </c>
      <c r="I23" s="41" t="s">
        <v>310</v>
      </c>
      <c r="J23" s="340" t="s">
        <v>310</v>
      </c>
      <c r="K23" s="389"/>
      <c r="L23" s="417"/>
      <c r="W23" s="302"/>
      <c r="X23" s="11">
        <v>0</v>
      </c>
    </row>
    <row r="24" spans="1:24" s="11" customFormat="1" ht="22.5" hidden="1" customHeight="1">
      <c r="A24" s="1426"/>
      <c r="C24" s="77"/>
      <c r="D24" s="43" t="s">
        <v>832</v>
      </c>
      <c r="E24" s="338" t="s">
        <v>833</v>
      </c>
      <c r="F24" s="41" t="s">
        <v>834</v>
      </c>
      <c r="G24" s="386"/>
      <c r="H24" s="391"/>
      <c r="I24" s="386"/>
      <c r="J24" s="391"/>
      <c r="K24" s="389"/>
      <c r="L24" s="417"/>
      <c r="W24" s="302"/>
      <c r="X24" s="11">
        <v>0</v>
      </c>
    </row>
    <row r="25" spans="1:24" s="11" customFormat="1" ht="22.5" hidden="1" customHeight="1">
      <c r="A25" s="1426"/>
      <c r="C25" s="77"/>
      <c r="D25" s="43" t="s">
        <v>835</v>
      </c>
      <c r="E25" s="338" t="s">
        <v>836</v>
      </c>
      <c r="F25" s="41" t="s">
        <v>310</v>
      </c>
      <c r="G25" s="41" t="s">
        <v>310</v>
      </c>
      <c r="H25" s="340" t="s">
        <v>310</v>
      </c>
      <c r="I25" s="41" t="s">
        <v>310</v>
      </c>
      <c r="J25" s="340" t="s">
        <v>310</v>
      </c>
      <c r="K25" s="389"/>
      <c r="L25" s="417"/>
      <c r="W25" s="302"/>
      <c r="X25" s="11">
        <v>0</v>
      </c>
    </row>
    <row r="26" spans="1:24" s="11" customFormat="1" ht="18.75" hidden="1" customHeight="1">
      <c r="A26" s="1426"/>
      <c r="C26" s="77"/>
      <c r="D26" s="43" t="s">
        <v>837</v>
      </c>
      <c r="E26" s="318" t="s">
        <v>838</v>
      </c>
      <c r="F26" s="41" t="s">
        <v>839</v>
      </c>
      <c r="G26" s="386"/>
      <c r="H26" s="391"/>
      <c r="I26" s="386"/>
      <c r="J26" s="391"/>
      <c r="K26" s="389"/>
      <c r="L26" s="417"/>
      <c r="W26" s="302"/>
      <c r="X26" s="11">
        <v>0</v>
      </c>
    </row>
    <row r="27" spans="1:24" s="11" customFormat="1" ht="18.75" hidden="1" customHeight="1">
      <c r="A27" s="1426"/>
      <c r="C27" s="77"/>
      <c r="D27" s="43" t="s">
        <v>840</v>
      </c>
      <c r="E27" s="318" t="s">
        <v>841</v>
      </c>
      <c r="F27" s="41" t="s">
        <v>842</v>
      </c>
      <c r="G27" s="386"/>
      <c r="H27" s="391"/>
      <c r="I27" s="386"/>
      <c r="J27" s="391"/>
      <c r="K27" s="389"/>
      <c r="L27" s="417"/>
      <c r="W27" s="302"/>
      <c r="X27" s="11">
        <v>0</v>
      </c>
    </row>
    <row r="28" spans="1:24" s="11" customFormat="1" ht="18.75" hidden="1" customHeight="1">
      <c r="A28" s="1426"/>
      <c r="C28" s="77"/>
      <c r="D28" s="43" t="s">
        <v>843</v>
      </c>
      <c r="E28" s="338" t="s">
        <v>844</v>
      </c>
      <c r="F28" s="41" t="s">
        <v>310</v>
      </c>
      <c r="G28" s="41" t="s">
        <v>310</v>
      </c>
      <c r="H28" s="340" t="s">
        <v>310</v>
      </c>
      <c r="I28" s="41" t="s">
        <v>310</v>
      </c>
      <c r="J28" s="340" t="s">
        <v>310</v>
      </c>
      <c r="K28" s="389"/>
      <c r="L28" s="417"/>
      <c r="W28" s="302"/>
      <c r="X28" s="11">
        <v>0</v>
      </c>
    </row>
    <row r="29" spans="1:24" s="11" customFormat="1" ht="18.75" hidden="1" customHeight="1">
      <c r="A29" s="1426"/>
      <c r="C29" s="77"/>
      <c r="D29" s="43" t="s">
        <v>845</v>
      </c>
      <c r="E29" s="318" t="s">
        <v>838</v>
      </c>
      <c r="F29" s="41" t="s">
        <v>846</v>
      </c>
      <c r="G29" s="386"/>
      <c r="H29" s="391"/>
      <c r="I29" s="386"/>
      <c r="J29" s="391"/>
      <c r="K29" s="389"/>
      <c r="L29" s="417"/>
      <c r="W29" s="302"/>
      <c r="X29" s="11">
        <v>0</v>
      </c>
    </row>
    <row r="30" spans="1:24" s="11" customFormat="1" ht="18.75" hidden="1" customHeight="1">
      <c r="A30" s="1426"/>
      <c r="C30" s="77"/>
      <c r="D30" s="43" t="s">
        <v>847</v>
      </c>
      <c r="E30" s="318" t="s">
        <v>848</v>
      </c>
      <c r="F30" s="41" t="s">
        <v>849</v>
      </c>
      <c r="G30" s="386"/>
      <c r="H30" s="391"/>
      <c r="I30" s="386"/>
      <c r="J30" s="391"/>
      <c r="K30" s="389"/>
      <c r="L30" s="417"/>
      <c r="W30" s="302"/>
      <c r="X30" s="11">
        <v>0</v>
      </c>
    </row>
    <row r="31" spans="1:24" ht="126.75" hidden="1" customHeight="1">
      <c r="A31" s="1426"/>
      <c r="D31" s="43" t="s">
        <v>112</v>
      </c>
      <c r="E31" s="153" t="s">
        <v>850</v>
      </c>
      <c r="F31" s="374" t="s">
        <v>561</v>
      </c>
      <c r="G31" s="321"/>
      <c r="H31" s="375"/>
      <c r="I31" s="321"/>
      <c r="J31" s="375"/>
      <c r="K31" s="67" t="s">
        <v>851</v>
      </c>
      <c r="L31" s="417"/>
      <c r="X31" s="11">
        <v>0</v>
      </c>
    </row>
    <row r="32" spans="1:24" ht="56.25" hidden="1" customHeight="1">
      <c r="A32" s="1426"/>
      <c r="D32" s="43" t="s">
        <v>93</v>
      </c>
      <c r="E32" s="153" t="s">
        <v>852</v>
      </c>
      <c r="F32" s="43" t="s">
        <v>822</v>
      </c>
      <c r="G32" s="321"/>
      <c r="H32" s="375"/>
      <c r="I32" s="321"/>
      <c r="J32" s="375"/>
      <c r="K32" s="67" t="s">
        <v>853</v>
      </c>
      <c r="L32" s="417"/>
      <c r="X32" s="11">
        <v>0</v>
      </c>
    </row>
    <row r="33" spans="1:24" ht="11.25" hidden="1" customHeight="1">
      <c r="A33" s="1426"/>
      <c r="E33" s="376"/>
      <c r="F33" s="92"/>
      <c r="G33" s="92"/>
      <c r="H33" s="92"/>
      <c r="I33" s="92"/>
      <c r="J33" s="92"/>
      <c r="K33" s="92"/>
      <c r="X33" s="11">
        <v>0</v>
      </c>
    </row>
    <row r="34" spans="1:24" ht="12.75" hidden="1" customHeight="1">
      <c r="A34" s="1426"/>
      <c r="D34" s="4">
        <v>1</v>
      </c>
      <c r="E34" s="197" t="s">
        <v>854</v>
      </c>
      <c r="X34" s="11">
        <v>0</v>
      </c>
    </row>
    <row r="35" spans="1:24" ht="11.25" hidden="1" customHeight="1">
      <c r="A35" s="1426"/>
      <c r="D35" s="4"/>
      <c r="E35" s="197" t="s">
        <v>855</v>
      </c>
      <c r="X35" s="11">
        <v>0</v>
      </c>
    </row>
    <row r="36" spans="1:24" s="11" customFormat="1" ht="11.55" customHeight="1">
      <c r="A36" s="303"/>
      <c r="B36" s="68"/>
      <c r="D36" s="4"/>
      <c r="E36" s="197"/>
      <c r="X36" s="11">
        <v>11</v>
      </c>
    </row>
    <row r="37" spans="1:24" s="11" customFormat="1" ht="22.5" hidden="1" customHeight="1">
      <c r="A37" s="1426" t="s">
        <v>856</v>
      </c>
      <c r="B37" s="68"/>
      <c r="D37" s="43">
        <v>1</v>
      </c>
      <c r="E37" s="153" t="s">
        <v>857</v>
      </c>
      <c r="F37" s="374" t="s">
        <v>812</v>
      </c>
      <c r="G37" s="321"/>
      <c r="H37" s="295"/>
      <c r="I37" s="321"/>
      <c r="J37" s="295"/>
      <c r="K37" s="67" t="s">
        <v>858</v>
      </c>
      <c r="X37" s="11">
        <v>0</v>
      </c>
    </row>
    <row r="38" spans="1:24" s="11" customFormat="1" ht="22.5" hidden="1" customHeight="1">
      <c r="A38" s="1426"/>
      <c r="B38" s="68"/>
      <c r="D38" s="381" t="s">
        <v>111</v>
      </c>
      <c r="E38" s="608" t="s">
        <v>859</v>
      </c>
      <c r="F38" s="609" t="s">
        <v>549</v>
      </c>
      <c r="G38" s="609" t="s">
        <v>549</v>
      </c>
      <c r="H38" s="606"/>
      <c r="I38" s="609" t="s">
        <v>549</v>
      </c>
      <c r="J38" s="606"/>
      <c r="K38" s="607"/>
      <c r="X38" s="11">
        <v>0</v>
      </c>
    </row>
    <row r="39" spans="1:24" s="11" customFormat="1" ht="33.75" hidden="1" customHeight="1">
      <c r="A39" s="1426"/>
      <c r="B39" s="68"/>
      <c r="D39" s="377" t="s">
        <v>714</v>
      </c>
      <c r="E39" s="420" t="s">
        <v>860</v>
      </c>
      <c r="F39" s="374" t="s">
        <v>861</v>
      </c>
      <c r="G39" s="380"/>
      <c r="H39" s="601"/>
      <c r="I39" s="380"/>
      <c r="J39" s="601"/>
      <c r="K39" s="67" t="s">
        <v>862</v>
      </c>
      <c r="X39" s="11">
        <v>0</v>
      </c>
    </row>
    <row r="40" spans="1:24" s="11" customFormat="1" ht="33.75" hidden="1" customHeight="1">
      <c r="A40" s="1426"/>
      <c r="B40" s="68"/>
      <c r="D40" s="377" t="s">
        <v>717</v>
      </c>
      <c r="E40" s="420" t="s">
        <v>863</v>
      </c>
      <c r="F40" s="603" t="s">
        <v>864</v>
      </c>
      <c r="G40" s="429"/>
      <c r="H40" s="601"/>
      <c r="I40" s="429"/>
      <c r="J40" s="601"/>
      <c r="K40" s="67" t="s">
        <v>865</v>
      </c>
      <c r="X40" s="11">
        <v>0</v>
      </c>
    </row>
    <row r="41" spans="1:24" s="11" customFormat="1" ht="22.5" hidden="1" customHeight="1">
      <c r="A41" s="1426"/>
      <c r="B41" s="68"/>
      <c r="D41" s="377" t="s">
        <v>91</v>
      </c>
      <c r="E41" s="419" t="s">
        <v>866</v>
      </c>
      <c r="F41" s="374" t="s">
        <v>549</v>
      </c>
      <c r="G41" s="374" t="s">
        <v>549</v>
      </c>
      <c r="H41" s="602"/>
      <c r="I41" s="374" t="s">
        <v>549</v>
      </c>
      <c r="J41" s="602"/>
      <c r="K41" s="173"/>
      <c r="X41" s="11">
        <v>0</v>
      </c>
    </row>
    <row r="42" spans="1:24" s="11" customFormat="1" ht="45" hidden="1" customHeight="1">
      <c r="A42" s="1426"/>
      <c r="B42" s="68"/>
      <c r="D42" s="377" t="s">
        <v>328</v>
      </c>
      <c r="E42" s="420" t="s">
        <v>867</v>
      </c>
      <c r="F42" s="374" t="s">
        <v>561</v>
      </c>
      <c r="G42" s="321"/>
      <c r="H42" s="602"/>
      <c r="I42" s="321"/>
      <c r="J42" s="602"/>
      <c r="K42" s="173" t="s">
        <v>868</v>
      </c>
      <c r="X42" s="11">
        <v>0</v>
      </c>
    </row>
    <row r="43" spans="1:24" s="11" customFormat="1" ht="45" hidden="1" customHeight="1">
      <c r="A43" s="1426"/>
      <c r="B43" s="68"/>
      <c r="D43" s="377" t="s">
        <v>336</v>
      </c>
      <c r="E43" s="379" t="s">
        <v>869</v>
      </c>
      <c r="F43" s="604" t="s">
        <v>561</v>
      </c>
      <c r="G43" s="430"/>
      <c r="H43" s="601"/>
      <c r="I43" s="430"/>
      <c r="J43" s="601"/>
      <c r="K43" s="173" t="s">
        <v>870</v>
      </c>
      <c r="X43" s="11">
        <v>0</v>
      </c>
    </row>
    <row r="44" spans="1:24" s="11" customFormat="1" ht="11.25" hidden="1" customHeight="1">
      <c r="A44" s="1426"/>
      <c r="B44" s="68"/>
      <c r="D44" s="377" t="s">
        <v>92</v>
      </c>
      <c r="E44" s="378" t="s">
        <v>871</v>
      </c>
      <c r="F44" s="374" t="s">
        <v>861</v>
      </c>
      <c r="G44" s="380"/>
      <c r="H44" s="601"/>
      <c r="I44" s="380"/>
      <c r="J44" s="601"/>
      <c r="K44" s="67"/>
      <c r="X44" s="11">
        <v>0</v>
      </c>
    </row>
    <row r="45" spans="1:24" s="11" customFormat="1" ht="11.25" hidden="1" customHeight="1">
      <c r="A45" s="1426"/>
      <c r="B45" s="68"/>
      <c r="D45" s="377" t="s">
        <v>756</v>
      </c>
      <c r="E45" s="379" t="s">
        <v>872</v>
      </c>
      <c r="F45" s="374" t="s">
        <v>861</v>
      </c>
      <c r="G45" s="380"/>
      <c r="H45" s="601"/>
      <c r="I45" s="380"/>
      <c r="J45" s="601"/>
      <c r="K45" s="67"/>
      <c r="X45" s="11">
        <v>0</v>
      </c>
    </row>
    <row r="46" spans="1:24" s="11" customFormat="1" ht="11.25" hidden="1" customHeight="1">
      <c r="A46" s="1426"/>
      <c r="B46" s="68"/>
      <c r="D46" s="377" t="s">
        <v>798</v>
      </c>
      <c r="E46" s="379" t="s">
        <v>873</v>
      </c>
      <c r="F46" s="374" t="s">
        <v>861</v>
      </c>
      <c r="G46" s="380"/>
      <c r="H46" s="601"/>
      <c r="I46" s="380"/>
      <c r="J46" s="601"/>
      <c r="K46" s="67"/>
      <c r="X46" s="11">
        <v>0</v>
      </c>
    </row>
    <row r="47" spans="1:24" s="11" customFormat="1" ht="11.25" hidden="1" customHeight="1">
      <c r="A47" s="1426"/>
      <c r="B47" s="68"/>
      <c r="D47" s="377" t="s">
        <v>801</v>
      </c>
      <c r="E47" s="379" t="s">
        <v>874</v>
      </c>
      <c r="F47" s="374" t="s">
        <v>861</v>
      </c>
      <c r="G47" s="380"/>
      <c r="H47" s="601"/>
      <c r="I47" s="380"/>
      <c r="J47" s="601"/>
      <c r="K47" s="67"/>
      <c r="X47" s="11">
        <v>0</v>
      </c>
    </row>
    <row r="48" spans="1:24" s="11" customFormat="1" ht="11.25" hidden="1" customHeight="1">
      <c r="A48" s="1426"/>
      <c r="B48" s="68"/>
      <c r="D48" s="377" t="s">
        <v>875</v>
      </c>
      <c r="E48" s="382" t="s">
        <v>876</v>
      </c>
      <c r="F48" s="374" t="s">
        <v>861</v>
      </c>
      <c r="G48" s="380"/>
      <c r="H48" s="601"/>
      <c r="I48" s="380"/>
      <c r="J48" s="601"/>
      <c r="K48" s="67"/>
      <c r="X48" s="11">
        <v>0</v>
      </c>
    </row>
    <row r="49" spans="1:24" s="11" customFormat="1" ht="11.25" hidden="1" customHeight="1">
      <c r="A49" s="1426"/>
      <c r="B49" s="68"/>
      <c r="D49" s="377" t="s">
        <v>877</v>
      </c>
      <c r="E49" s="382" t="s">
        <v>878</v>
      </c>
      <c r="F49" s="374" t="s">
        <v>861</v>
      </c>
      <c r="G49" s="380"/>
      <c r="H49" s="601"/>
      <c r="I49" s="380"/>
      <c r="J49" s="601"/>
      <c r="K49" s="67"/>
      <c r="X49" s="11">
        <v>0</v>
      </c>
    </row>
    <row r="50" spans="1:24" s="11" customFormat="1" ht="11.25" hidden="1" customHeight="1">
      <c r="A50" s="1426"/>
      <c r="B50" s="68"/>
      <c r="D50" s="377" t="s">
        <v>879</v>
      </c>
      <c r="E50" s="379" t="s">
        <v>880</v>
      </c>
      <c r="F50" s="374" t="s">
        <v>861</v>
      </c>
      <c r="G50" s="380"/>
      <c r="H50" s="601"/>
      <c r="I50" s="380"/>
      <c r="J50" s="601"/>
      <c r="K50" s="67"/>
      <c r="X50" s="11">
        <v>0</v>
      </c>
    </row>
    <row r="51" spans="1:24" s="11" customFormat="1" ht="11.25" hidden="1" customHeight="1">
      <c r="A51" s="1426"/>
      <c r="B51" s="68"/>
      <c r="D51" s="377" t="s">
        <v>881</v>
      </c>
      <c r="E51" s="379" t="s">
        <v>882</v>
      </c>
      <c r="F51" s="374" t="s">
        <v>861</v>
      </c>
      <c r="G51" s="380"/>
      <c r="H51" s="601"/>
      <c r="I51" s="380"/>
      <c r="J51" s="601"/>
      <c r="K51" s="67"/>
      <c r="X51" s="11">
        <v>0</v>
      </c>
    </row>
    <row r="52" spans="1:24" s="11" customFormat="1" ht="45" hidden="1" customHeight="1">
      <c r="A52" s="1426"/>
      <c r="B52" s="68"/>
      <c r="D52" s="377" t="s">
        <v>112</v>
      </c>
      <c r="E52" s="378" t="s">
        <v>883</v>
      </c>
      <c r="F52" s="374" t="s">
        <v>861</v>
      </c>
      <c r="G52" s="380"/>
      <c r="H52" s="601"/>
      <c r="I52" s="380"/>
      <c r="J52" s="601"/>
      <c r="K52" s="67"/>
      <c r="X52" s="11">
        <v>0</v>
      </c>
    </row>
    <row r="53" spans="1:24" s="11" customFormat="1" ht="11.25" hidden="1" customHeight="1">
      <c r="A53" s="1426"/>
      <c r="B53" s="68"/>
      <c r="D53" s="377" t="s">
        <v>317</v>
      </c>
      <c r="E53" s="379" t="s">
        <v>872</v>
      </c>
      <c r="F53" s="374" t="s">
        <v>861</v>
      </c>
      <c r="G53" s="380"/>
      <c r="H53" s="601"/>
      <c r="I53" s="380"/>
      <c r="J53" s="601"/>
      <c r="K53" s="67"/>
      <c r="X53" s="11">
        <v>0</v>
      </c>
    </row>
    <row r="54" spans="1:24" s="11" customFormat="1" ht="11.25" hidden="1" customHeight="1">
      <c r="A54" s="1426"/>
      <c r="B54" s="68"/>
      <c r="D54" s="377" t="s">
        <v>884</v>
      </c>
      <c r="E54" s="379" t="s">
        <v>873</v>
      </c>
      <c r="F54" s="374" t="s">
        <v>861</v>
      </c>
      <c r="G54" s="380"/>
      <c r="H54" s="601"/>
      <c r="I54" s="380"/>
      <c r="J54" s="601"/>
      <c r="K54" s="67"/>
      <c r="X54" s="11">
        <v>0</v>
      </c>
    </row>
    <row r="55" spans="1:24" s="11" customFormat="1" ht="11.25" hidden="1" customHeight="1">
      <c r="A55" s="1426"/>
      <c r="B55" s="68"/>
      <c r="D55" s="377" t="s">
        <v>885</v>
      </c>
      <c r="E55" s="379" t="s">
        <v>874</v>
      </c>
      <c r="F55" s="374" t="s">
        <v>861</v>
      </c>
      <c r="G55" s="380"/>
      <c r="H55" s="601"/>
      <c r="I55" s="380"/>
      <c r="J55" s="601"/>
      <c r="K55" s="67"/>
      <c r="X55" s="11">
        <v>0</v>
      </c>
    </row>
    <row r="56" spans="1:24" s="11" customFormat="1" ht="11.25" hidden="1" customHeight="1">
      <c r="A56" s="1426"/>
      <c r="B56" s="68"/>
      <c r="D56" s="377" t="s">
        <v>886</v>
      </c>
      <c r="E56" s="382" t="s">
        <v>876</v>
      </c>
      <c r="F56" s="374" t="s">
        <v>861</v>
      </c>
      <c r="G56" s="380"/>
      <c r="H56" s="601"/>
      <c r="I56" s="380"/>
      <c r="J56" s="601"/>
      <c r="K56" s="67"/>
      <c r="X56" s="11">
        <v>0</v>
      </c>
    </row>
    <row r="57" spans="1:24" s="11" customFormat="1" ht="11.25" hidden="1" customHeight="1">
      <c r="A57" s="1426"/>
      <c r="B57" s="68"/>
      <c r="D57" s="377" t="s">
        <v>887</v>
      </c>
      <c r="E57" s="382" t="s">
        <v>878</v>
      </c>
      <c r="F57" s="374" t="s">
        <v>861</v>
      </c>
      <c r="G57" s="380"/>
      <c r="H57" s="601"/>
      <c r="I57" s="380"/>
      <c r="J57" s="601"/>
      <c r="K57" s="67"/>
      <c r="X57" s="11">
        <v>0</v>
      </c>
    </row>
    <row r="58" spans="1:24" s="11" customFormat="1" ht="11.25" hidden="1" customHeight="1">
      <c r="A58" s="1426"/>
      <c r="B58" s="68"/>
      <c r="D58" s="377" t="s">
        <v>888</v>
      </c>
      <c r="E58" s="379" t="s">
        <v>880</v>
      </c>
      <c r="F58" s="374" t="s">
        <v>861</v>
      </c>
      <c r="G58" s="380"/>
      <c r="H58" s="601"/>
      <c r="I58" s="380"/>
      <c r="J58" s="601"/>
      <c r="K58" s="67"/>
      <c r="X58" s="11">
        <v>0</v>
      </c>
    </row>
    <row r="59" spans="1:24" s="11" customFormat="1" ht="11.25" hidden="1" customHeight="1">
      <c r="A59" s="1426"/>
      <c r="B59" s="68"/>
      <c r="D59" s="377" t="s">
        <v>889</v>
      </c>
      <c r="E59" s="379" t="s">
        <v>882</v>
      </c>
      <c r="F59" s="374" t="s">
        <v>861</v>
      </c>
      <c r="G59" s="380"/>
      <c r="H59" s="601"/>
      <c r="I59" s="380"/>
      <c r="J59" s="601"/>
      <c r="K59" s="67"/>
      <c r="X59" s="11">
        <v>0</v>
      </c>
    </row>
    <row r="60" spans="1:24" s="11" customFormat="1" ht="33.75" hidden="1" customHeight="1">
      <c r="A60" s="1426"/>
      <c r="B60" s="68"/>
      <c r="D60" s="377" t="s">
        <v>93</v>
      </c>
      <c r="E60" s="378" t="s">
        <v>890</v>
      </c>
      <c r="F60" s="418" t="s">
        <v>561</v>
      </c>
      <c r="G60" s="430"/>
      <c r="H60" s="601"/>
      <c r="I60" s="430"/>
      <c r="J60" s="601"/>
      <c r="K60" s="173" t="s">
        <v>891</v>
      </c>
      <c r="X60" s="11">
        <v>0</v>
      </c>
    </row>
    <row r="61" spans="1:24" s="11" customFormat="1" ht="33.75" hidden="1" customHeight="1">
      <c r="A61" s="1426"/>
      <c r="B61" s="68"/>
      <c r="D61" s="377" t="s">
        <v>94</v>
      </c>
      <c r="E61" s="378" t="s">
        <v>892</v>
      </c>
      <c r="F61" s="423" t="s">
        <v>822</v>
      </c>
      <c r="G61" s="380"/>
      <c r="H61" s="601"/>
      <c r="I61" s="380"/>
      <c r="J61" s="601"/>
      <c r="K61" s="67"/>
      <c r="X61" s="11">
        <v>0</v>
      </c>
    </row>
    <row r="62" spans="1:24" s="11" customFormat="1" ht="22.5" hidden="1" customHeight="1">
      <c r="A62" s="1426"/>
      <c r="B62" s="68" t="s">
        <v>591</v>
      </c>
      <c r="D62" s="377" t="s">
        <v>113</v>
      </c>
      <c r="E62" s="378" t="s">
        <v>893</v>
      </c>
      <c r="F62" s="423" t="s">
        <v>310</v>
      </c>
      <c r="G62" s="117"/>
      <c r="H62" s="601"/>
      <c r="I62" s="117"/>
      <c r="J62" s="601"/>
      <c r="K62" s="67" t="s">
        <v>634</v>
      </c>
      <c r="X62" s="11">
        <v>0</v>
      </c>
    </row>
    <row r="63" spans="1:24" s="11" customFormat="1" ht="45" hidden="1" customHeight="1">
      <c r="A63" s="1426"/>
      <c r="B63" s="68" t="s">
        <v>591</v>
      </c>
      <c r="D63" s="377" t="s">
        <v>894</v>
      </c>
      <c r="E63" s="379" t="s">
        <v>895</v>
      </c>
      <c r="F63" s="418" t="s">
        <v>310</v>
      </c>
      <c r="G63" s="117"/>
      <c r="H63" s="601"/>
      <c r="I63" s="117"/>
      <c r="J63" s="601"/>
      <c r="K63" s="67" t="s">
        <v>634</v>
      </c>
      <c r="X63" s="11">
        <v>0</v>
      </c>
    </row>
    <row r="64" spans="1:24" s="11" customFormat="1" ht="11.55" customHeight="1">
      <c r="A64" s="303"/>
      <c r="B64" s="68"/>
      <c r="D64" s="4"/>
      <c r="E64" s="197"/>
      <c r="X64" s="11">
        <v>11</v>
      </c>
    </row>
    <row r="65" spans="1:24" s="11" customFormat="1" ht="22.5" hidden="1" customHeight="1">
      <c r="A65" s="1426" t="s">
        <v>896</v>
      </c>
      <c r="B65" s="68"/>
      <c r="D65" s="377">
        <v>1</v>
      </c>
      <c r="E65" s="432" t="s">
        <v>897</v>
      </c>
      <c r="F65" s="428" t="s">
        <v>812</v>
      </c>
      <c r="G65" s="429"/>
      <c r="H65" s="605"/>
      <c r="I65" s="429"/>
      <c r="J65" s="605"/>
      <c r="K65" s="172" t="s">
        <v>898</v>
      </c>
      <c r="X65" s="11">
        <v>0</v>
      </c>
    </row>
    <row r="66" spans="1:24" s="11" customFormat="1" ht="56.25" hidden="1" customHeight="1">
      <c r="A66" s="1426"/>
      <c r="B66" s="68"/>
      <c r="D66" s="431" t="s">
        <v>111</v>
      </c>
      <c r="E66" s="153" t="s">
        <v>899</v>
      </c>
      <c r="F66" s="374" t="s">
        <v>549</v>
      </c>
      <c r="G66" s="374" t="s">
        <v>549</v>
      </c>
      <c r="H66" s="295"/>
      <c r="I66" s="374" t="s">
        <v>549</v>
      </c>
      <c r="J66" s="295"/>
      <c r="K66" s="67"/>
      <c r="X66" s="11">
        <v>0</v>
      </c>
    </row>
    <row r="67" spans="1:24" s="11" customFormat="1" ht="33.75" hidden="1" customHeight="1">
      <c r="A67" s="1426"/>
      <c r="B67" s="68"/>
      <c r="D67" s="431" t="s">
        <v>711</v>
      </c>
      <c r="E67" s="323" t="s">
        <v>900</v>
      </c>
      <c r="F67" s="374" t="s">
        <v>864</v>
      </c>
      <c r="G67" s="424"/>
      <c r="H67" s="295"/>
      <c r="I67" s="424"/>
      <c r="J67" s="295"/>
      <c r="K67" s="67"/>
      <c r="X67" s="11">
        <v>0</v>
      </c>
    </row>
    <row r="68" spans="1:24" s="11" customFormat="1" ht="22.5" hidden="1" customHeight="1">
      <c r="A68" s="1426"/>
      <c r="B68" s="68"/>
      <c r="D68" s="431" t="s">
        <v>311</v>
      </c>
      <c r="E68" s="323" t="s">
        <v>901</v>
      </c>
      <c r="F68" s="374" t="s">
        <v>864</v>
      </c>
      <c r="G68" s="424"/>
      <c r="H68" s="295"/>
      <c r="I68" s="424"/>
      <c r="J68" s="295"/>
      <c r="K68" s="67"/>
      <c r="X68" s="11">
        <v>0</v>
      </c>
    </row>
    <row r="69" spans="1:24" s="11" customFormat="1" ht="22.5" hidden="1" customHeight="1">
      <c r="A69" s="1426"/>
      <c r="B69" s="68"/>
      <c r="D69" s="431" t="s">
        <v>314</v>
      </c>
      <c r="E69" s="323" t="s">
        <v>902</v>
      </c>
      <c r="F69" s="418" t="s">
        <v>561</v>
      </c>
      <c r="G69" s="430"/>
      <c r="H69" s="295"/>
      <c r="I69" s="430"/>
      <c r="J69" s="295"/>
      <c r="K69" s="67"/>
      <c r="X69" s="11">
        <v>0</v>
      </c>
    </row>
    <row r="70" spans="1:24" s="11" customFormat="1" ht="22.5" hidden="1" customHeight="1">
      <c r="A70" s="1426"/>
      <c r="B70" s="68"/>
      <c r="D70" s="431" t="s">
        <v>731</v>
      </c>
      <c r="E70" s="323" t="s">
        <v>903</v>
      </c>
      <c r="F70" s="418" t="s">
        <v>561</v>
      </c>
      <c r="G70" s="430"/>
      <c r="H70" s="295"/>
      <c r="I70" s="430"/>
      <c r="J70" s="295"/>
      <c r="K70" s="67"/>
      <c r="X70" s="11">
        <v>0</v>
      </c>
    </row>
    <row r="71" spans="1:24" s="11" customFormat="1" ht="22.5" hidden="1" customHeight="1">
      <c r="A71" s="1426"/>
      <c r="B71" s="68"/>
      <c r="D71" s="377" t="s">
        <v>91</v>
      </c>
      <c r="E71" s="378" t="s">
        <v>904</v>
      </c>
      <c r="F71" s="374" t="s">
        <v>864</v>
      </c>
      <c r="G71" s="321"/>
      <c r="H71" s="606"/>
      <c r="I71" s="321"/>
      <c r="J71" s="606"/>
      <c r="K71" s="173"/>
      <c r="X71" s="11">
        <v>0</v>
      </c>
    </row>
    <row r="72" spans="1:24" s="11" customFormat="1" ht="56.25" hidden="1" customHeight="1">
      <c r="A72" s="1426"/>
      <c r="B72" s="68"/>
      <c r="D72" s="377" t="s">
        <v>92</v>
      </c>
      <c r="E72" s="378" t="s">
        <v>905</v>
      </c>
      <c r="F72" s="418" t="s">
        <v>561</v>
      </c>
      <c r="G72" s="430"/>
      <c r="H72" s="601"/>
      <c r="I72" s="430"/>
      <c r="J72" s="601"/>
      <c r="K72" s="173"/>
      <c r="X72" s="11">
        <v>0</v>
      </c>
    </row>
    <row r="73" spans="1:24" s="11" customFormat="1" ht="33.75" hidden="1" customHeight="1">
      <c r="A73" s="1426"/>
      <c r="B73" s="68"/>
      <c r="D73" s="377" t="s">
        <v>112</v>
      </c>
      <c r="E73" s="378" t="s">
        <v>906</v>
      </c>
      <c r="F73" s="423" t="s">
        <v>822</v>
      </c>
      <c r="G73" s="380"/>
      <c r="H73" s="601"/>
      <c r="I73" s="380"/>
      <c r="J73" s="601"/>
      <c r="K73" s="67"/>
      <c r="X73" s="11">
        <v>0</v>
      </c>
    </row>
    <row r="74" spans="1:24" s="11" customFormat="1" ht="22.5" hidden="1" customHeight="1">
      <c r="A74" s="1426"/>
      <c r="B74" s="68" t="s">
        <v>591</v>
      </c>
      <c r="D74" s="377" t="s">
        <v>93</v>
      </c>
      <c r="E74" s="378" t="s">
        <v>907</v>
      </c>
      <c r="F74" s="423" t="s">
        <v>310</v>
      </c>
      <c r="G74" s="117"/>
      <c r="H74" s="601"/>
      <c r="I74" s="117"/>
      <c r="J74" s="601"/>
      <c r="K74" s="67" t="s">
        <v>634</v>
      </c>
      <c r="X74" s="11">
        <v>0</v>
      </c>
    </row>
    <row r="75" spans="1:24" s="11" customFormat="1" ht="45" hidden="1" customHeight="1">
      <c r="A75" s="1426"/>
      <c r="B75" s="68" t="s">
        <v>591</v>
      </c>
      <c r="D75" s="377" t="s">
        <v>655</v>
      </c>
      <c r="E75" s="379" t="s">
        <v>908</v>
      </c>
      <c r="F75" s="418" t="s">
        <v>310</v>
      </c>
      <c r="G75" s="117"/>
      <c r="H75" s="601"/>
      <c r="I75" s="117"/>
      <c r="J75" s="601"/>
      <c r="K75" s="67" t="s">
        <v>634</v>
      </c>
      <c r="X75" s="11">
        <v>0</v>
      </c>
    </row>
    <row r="76" spans="1:24" s="11" customFormat="1" ht="11.55" customHeight="1">
      <c r="A76" s="303"/>
      <c r="B76" s="68"/>
      <c r="D76" s="4"/>
      <c r="E76" s="197"/>
      <c r="X76" s="11">
        <v>11</v>
      </c>
    </row>
    <row r="77" spans="1:24" s="11" customFormat="1" ht="11.25" customHeight="1">
      <c r="A77" s="1426" t="s">
        <v>909</v>
      </c>
      <c r="B77" s="68"/>
      <c r="D77" s="377">
        <v>1</v>
      </c>
      <c r="E77" s="378" t="s">
        <v>910</v>
      </c>
      <c r="F77" s="418" t="s">
        <v>812</v>
      </c>
      <c r="G77" s="421"/>
      <c r="H77" s="601"/>
      <c r="I77" s="421"/>
      <c r="J77" s="601"/>
      <c r="K77" s="67" t="s">
        <v>911</v>
      </c>
      <c r="X77" s="11">
        <v>0</v>
      </c>
    </row>
    <row r="78" spans="1:24" s="11" customFormat="1" ht="11.25" customHeight="1">
      <c r="A78" s="1426"/>
      <c r="B78" s="68"/>
      <c r="D78" s="377" t="s">
        <v>111</v>
      </c>
      <c r="E78" s="378" t="s">
        <v>912</v>
      </c>
      <c r="F78" s="418" t="s">
        <v>812</v>
      </c>
      <c r="G78" s="421"/>
      <c r="H78" s="601"/>
      <c r="I78" s="421"/>
      <c r="J78" s="601"/>
      <c r="K78" s="67" t="s">
        <v>913</v>
      </c>
      <c r="X78" s="11">
        <v>0</v>
      </c>
    </row>
    <row r="79" spans="1:24" s="11" customFormat="1" ht="22.5" customHeight="1">
      <c r="A79" s="1426"/>
      <c r="B79" s="68"/>
      <c r="D79" s="377" t="s">
        <v>91</v>
      </c>
      <c r="E79" s="419" t="s">
        <v>914</v>
      </c>
      <c r="F79" s="374" t="s">
        <v>861</v>
      </c>
      <c r="G79" s="421"/>
      <c r="H79" s="601"/>
      <c r="I79" s="421"/>
      <c r="J79" s="601"/>
      <c r="K79" s="67" t="s">
        <v>915</v>
      </c>
      <c r="X79" s="11">
        <v>0</v>
      </c>
    </row>
    <row r="80" spans="1:24" s="11" customFormat="1" ht="11.25" customHeight="1">
      <c r="A80" s="1426"/>
      <c r="B80" s="68"/>
      <c r="D80" s="377" t="s">
        <v>328</v>
      </c>
      <c r="E80" s="420" t="s">
        <v>916</v>
      </c>
      <c r="F80" s="374" t="s">
        <v>861</v>
      </c>
      <c r="G80" s="421"/>
      <c r="H80" s="601"/>
      <c r="I80" s="421"/>
      <c r="J80" s="601"/>
      <c r="K80" s="67"/>
      <c r="X80" s="11">
        <v>0</v>
      </c>
    </row>
    <row r="81" spans="1:24" s="11" customFormat="1" ht="11.25" customHeight="1">
      <c r="A81" s="1426"/>
      <c r="B81" s="68"/>
      <c r="D81" s="377" t="s">
        <v>336</v>
      </c>
      <c r="E81" s="420" t="s">
        <v>917</v>
      </c>
      <c r="F81" s="374" t="s">
        <v>861</v>
      </c>
      <c r="G81" s="421"/>
      <c r="H81" s="601"/>
      <c r="I81" s="421"/>
      <c r="J81" s="601"/>
      <c r="K81" s="67"/>
      <c r="X81" s="11">
        <v>0</v>
      </c>
    </row>
    <row r="82" spans="1:24" s="11" customFormat="1" ht="11.25" customHeight="1">
      <c r="A82" s="1426"/>
      <c r="B82" s="68"/>
      <c r="D82" s="377" t="s">
        <v>338</v>
      </c>
      <c r="E82" s="420" t="s">
        <v>918</v>
      </c>
      <c r="F82" s="374" t="s">
        <v>861</v>
      </c>
      <c r="G82" s="421"/>
      <c r="H82" s="601"/>
      <c r="I82" s="421"/>
      <c r="J82" s="601"/>
      <c r="K82" s="67"/>
      <c r="X82" s="11">
        <v>0</v>
      </c>
    </row>
    <row r="83" spans="1:24" s="11" customFormat="1" ht="11.25" customHeight="1">
      <c r="A83" s="1426"/>
      <c r="B83" s="68"/>
      <c r="D83" s="377" t="s">
        <v>340</v>
      </c>
      <c r="E83" s="420" t="s">
        <v>919</v>
      </c>
      <c r="F83" s="374" t="s">
        <v>861</v>
      </c>
      <c r="G83" s="421"/>
      <c r="H83" s="601"/>
      <c r="I83" s="421"/>
      <c r="J83" s="601"/>
      <c r="K83" s="67"/>
      <c r="X83" s="11">
        <v>0</v>
      </c>
    </row>
    <row r="84" spans="1:24" s="11" customFormat="1" ht="11.25" customHeight="1">
      <c r="A84" s="1426"/>
      <c r="B84" s="68"/>
      <c r="D84" s="377" t="s">
        <v>920</v>
      </c>
      <c r="E84" s="420" t="s">
        <v>921</v>
      </c>
      <c r="F84" s="374" t="s">
        <v>861</v>
      </c>
      <c r="G84" s="421"/>
      <c r="H84" s="601"/>
      <c r="I84" s="421"/>
      <c r="J84" s="601"/>
      <c r="K84" s="67"/>
      <c r="X84" s="11">
        <v>0</v>
      </c>
    </row>
    <row r="85" spans="1:24" s="11" customFormat="1" ht="11.25" customHeight="1">
      <c r="A85" s="1426"/>
      <c r="B85" s="68"/>
      <c r="D85" s="377" t="s">
        <v>922</v>
      </c>
      <c r="E85" s="420" t="s">
        <v>923</v>
      </c>
      <c r="F85" s="374" t="s">
        <v>861</v>
      </c>
      <c r="G85" s="421"/>
      <c r="H85" s="601"/>
      <c r="I85" s="421"/>
      <c r="J85" s="601"/>
      <c r="K85" s="67"/>
      <c r="X85" s="11">
        <v>0</v>
      </c>
    </row>
    <row r="86" spans="1:24" s="11" customFormat="1" ht="11.25" customHeight="1">
      <c r="A86" s="1426"/>
      <c r="B86" s="68"/>
      <c r="D86" s="377" t="s">
        <v>924</v>
      </c>
      <c r="E86" s="420" t="s">
        <v>925</v>
      </c>
      <c r="F86" s="374" t="s">
        <v>861</v>
      </c>
      <c r="G86" s="421"/>
      <c r="H86" s="601"/>
      <c r="I86" s="421"/>
      <c r="J86" s="601"/>
      <c r="K86" s="67"/>
      <c r="X86" s="11">
        <v>0</v>
      </c>
    </row>
    <row r="87" spans="1:24" s="11" customFormat="1" ht="45" customHeight="1">
      <c r="A87" s="1426"/>
      <c r="B87" s="68"/>
      <c r="D87" s="377" t="s">
        <v>92</v>
      </c>
      <c r="E87" s="378" t="s">
        <v>926</v>
      </c>
      <c r="F87" s="374" t="s">
        <v>861</v>
      </c>
      <c r="G87" s="421"/>
      <c r="H87" s="601"/>
      <c r="I87" s="421"/>
      <c r="J87" s="601"/>
      <c r="K87" s="67" t="s">
        <v>927</v>
      </c>
      <c r="X87" s="11">
        <v>0</v>
      </c>
    </row>
    <row r="88" spans="1:24" s="11" customFormat="1" ht="11.25" customHeight="1">
      <c r="A88" s="1426"/>
      <c r="B88" s="68"/>
      <c r="D88" s="377" t="s">
        <v>756</v>
      </c>
      <c r="E88" s="420" t="s">
        <v>916</v>
      </c>
      <c r="F88" s="374" t="s">
        <v>861</v>
      </c>
      <c r="G88" s="421"/>
      <c r="H88" s="601"/>
      <c r="I88" s="421"/>
      <c r="J88" s="601"/>
      <c r="K88" s="67"/>
      <c r="X88" s="11">
        <v>0</v>
      </c>
    </row>
    <row r="89" spans="1:24" s="11" customFormat="1" ht="11.25" customHeight="1">
      <c r="A89" s="1426"/>
      <c r="B89" s="68"/>
      <c r="D89" s="377" t="s">
        <v>798</v>
      </c>
      <c r="E89" s="420" t="s">
        <v>917</v>
      </c>
      <c r="F89" s="374" t="s">
        <v>861</v>
      </c>
      <c r="G89" s="421"/>
      <c r="H89" s="601"/>
      <c r="I89" s="421"/>
      <c r="J89" s="601"/>
      <c r="K89" s="67"/>
      <c r="X89" s="11">
        <v>0</v>
      </c>
    </row>
    <row r="90" spans="1:24" s="11" customFormat="1" ht="11.25" customHeight="1">
      <c r="A90" s="1426"/>
      <c r="B90" s="68"/>
      <c r="D90" s="377" t="s">
        <v>801</v>
      </c>
      <c r="E90" s="420" t="s">
        <v>918</v>
      </c>
      <c r="F90" s="374" t="s">
        <v>861</v>
      </c>
      <c r="G90" s="421"/>
      <c r="H90" s="601"/>
      <c r="I90" s="421"/>
      <c r="J90" s="601"/>
      <c r="K90" s="67"/>
      <c r="X90" s="11">
        <v>0</v>
      </c>
    </row>
    <row r="91" spans="1:24" s="11" customFormat="1" ht="11.25" customHeight="1">
      <c r="A91" s="1426"/>
      <c r="B91" s="68"/>
      <c r="D91" s="377" t="s">
        <v>879</v>
      </c>
      <c r="E91" s="420" t="s">
        <v>919</v>
      </c>
      <c r="F91" s="374" t="s">
        <v>861</v>
      </c>
      <c r="G91" s="421"/>
      <c r="H91" s="601"/>
      <c r="I91" s="421"/>
      <c r="J91" s="601"/>
      <c r="K91" s="67"/>
      <c r="X91" s="11">
        <v>0</v>
      </c>
    </row>
    <row r="92" spans="1:24" s="11" customFormat="1" ht="11.25" customHeight="1">
      <c r="A92" s="1426"/>
      <c r="B92" s="68"/>
      <c r="D92" s="377" t="s">
        <v>881</v>
      </c>
      <c r="E92" s="420" t="s">
        <v>921</v>
      </c>
      <c r="F92" s="374" t="s">
        <v>861</v>
      </c>
      <c r="G92" s="421"/>
      <c r="H92" s="601"/>
      <c r="I92" s="421"/>
      <c r="J92" s="601"/>
      <c r="K92" s="67"/>
      <c r="X92" s="11">
        <v>0</v>
      </c>
    </row>
    <row r="93" spans="1:24" s="11" customFormat="1" ht="11.25" customHeight="1">
      <c r="A93" s="1426"/>
      <c r="B93" s="68"/>
      <c r="D93" s="377" t="s">
        <v>928</v>
      </c>
      <c r="E93" s="420" t="s">
        <v>923</v>
      </c>
      <c r="F93" s="374" t="s">
        <v>861</v>
      </c>
      <c r="G93" s="421"/>
      <c r="H93" s="601"/>
      <c r="I93" s="421"/>
      <c r="J93" s="601"/>
      <c r="K93" s="67"/>
      <c r="X93" s="11">
        <v>0</v>
      </c>
    </row>
    <row r="94" spans="1:24" s="11" customFormat="1" ht="11.25" customHeight="1">
      <c r="A94" s="1426"/>
      <c r="B94" s="68"/>
      <c r="D94" s="377" t="s">
        <v>929</v>
      </c>
      <c r="E94" s="420" t="s">
        <v>925</v>
      </c>
      <c r="F94" s="374" t="s">
        <v>861</v>
      </c>
      <c r="G94" s="421"/>
      <c r="H94" s="601"/>
      <c r="I94" s="421"/>
      <c r="J94" s="601"/>
      <c r="K94" s="67"/>
      <c r="X94" s="11">
        <v>0</v>
      </c>
    </row>
    <row r="95" spans="1:24" s="11" customFormat="1" ht="24.75" customHeight="1">
      <c r="A95" s="1426"/>
      <c r="B95" s="68"/>
      <c r="D95" s="377" t="s">
        <v>112</v>
      </c>
      <c r="E95" s="378" t="s">
        <v>930</v>
      </c>
      <c r="F95" s="422" t="s">
        <v>561</v>
      </c>
      <c r="G95" s="424"/>
      <c r="H95" s="601"/>
      <c r="I95" s="424"/>
      <c r="J95" s="601"/>
      <c r="K95" s="67" t="s">
        <v>931</v>
      </c>
      <c r="X95" s="11">
        <v>0</v>
      </c>
    </row>
    <row r="96" spans="1:24" s="11" customFormat="1" ht="33.75" customHeight="1">
      <c r="A96" s="1426"/>
      <c r="B96" s="68"/>
      <c r="D96" s="377" t="s">
        <v>93</v>
      </c>
      <c r="E96" s="378" t="s">
        <v>932</v>
      </c>
      <c r="F96" s="423" t="s">
        <v>822</v>
      </c>
      <c r="G96" s="425"/>
      <c r="H96" s="601"/>
      <c r="I96" s="425"/>
      <c r="J96" s="601"/>
      <c r="K96" s="67"/>
      <c r="X96" s="11">
        <v>0</v>
      </c>
    </row>
    <row r="97" spans="1:24" s="11" customFormat="1" ht="22.5" customHeight="1">
      <c r="A97" s="1426"/>
      <c r="B97" s="68" t="s">
        <v>591</v>
      </c>
      <c r="D97" s="377" t="s">
        <v>94</v>
      </c>
      <c r="E97" s="378" t="s">
        <v>933</v>
      </c>
      <c r="F97" s="423" t="s">
        <v>310</v>
      </c>
      <c r="G97" s="220"/>
      <c r="H97" s="601"/>
      <c r="I97" s="220"/>
      <c r="J97" s="601"/>
      <c r="K97" s="67" t="s">
        <v>634</v>
      </c>
      <c r="X97" s="11">
        <v>0</v>
      </c>
    </row>
    <row r="98" spans="1:24" s="11" customFormat="1" ht="45" customHeight="1">
      <c r="A98" s="1426"/>
      <c r="B98" s="68" t="s">
        <v>591</v>
      </c>
      <c r="D98" s="377" t="s">
        <v>934</v>
      </c>
      <c r="E98" s="379" t="s">
        <v>935</v>
      </c>
      <c r="F98" s="418" t="s">
        <v>310</v>
      </c>
      <c r="G98" s="220"/>
      <c r="H98" s="601"/>
      <c r="I98" s="220"/>
      <c r="J98" s="601"/>
      <c r="K98" s="67" t="s">
        <v>634</v>
      </c>
      <c r="X98" s="11">
        <v>0</v>
      </c>
    </row>
    <row r="99" spans="1:24" s="11" customFormat="1" ht="95.25" customHeight="1">
      <c r="A99" s="1426"/>
      <c r="B99" s="68" t="s">
        <v>591</v>
      </c>
      <c r="D99" s="377" t="s">
        <v>113</v>
      </c>
      <c r="E99" s="378" t="s">
        <v>936</v>
      </c>
      <c r="F99" s="418" t="s">
        <v>310</v>
      </c>
      <c r="G99" s="220"/>
      <c r="H99" s="601"/>
      <c r="I99" s="220"/>
      <c r="J99" s="601"/>
      <c r="K99" s="67" t="s">
        <v>634</v>
      </c>
      <c r="X99" s="11">
        <v>0</v>
      </c>
    </row>
    <row r="100" spans="1:24" s="11" customFormat="1" ht="22.5" customHeight="1">
      <c r="A100" s="1426"/>
      <c r="B100" s="68" t="s">
        <v>591</v>
      </c>
      <c r="D100" s="377" t="s">
        <v>149</v>
      </c>
      <c r="E100" s="378" t="s">
        <v>937</v>
      </c>
      <c r="F100" s="418" t="s">
        <v>310</v>
      </c>
      <c r="G100" s="220"/>
      <c r="H100" s="601"/>
      <c r="I100" s="220"/>
      <c r="J100" s="601"/>
      <c r="K100" s="67" t="s">
        <v>634</v>
      </c>
      <c r="X100" s="11">
        <v>0</v>
      </c>
    </row>
    <row r="101" spans="1:24" s="11" customFormat="1" ht="11.5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35" hidden="1" customWidth="1"/>
    <col min="2" max="2" width="2" style="35" hidden="1" customWidth="1"/>
    <col min="3" max="3" width="3" style="35" customWidth="1"/>
    <col min="4" max="4" width="4" style="35" customWidth="1"/>
    <col min="5" max="5" width="44" style="35" customWidth="1"/>
    <col min="6" max="6" width="6.37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25" style="69" hidden="1"/>
    <col min="21" max="24" width="9.125" style="17" hidden="1"/>
    <col min="25" max="37" width="9.125" style="82" hidden="1"/>
    <col min="38" max="38" width="8" style="82" customWidth="1"/>
    <col min="39" max="39" width="9.125" style="35" hidden="1"/>
  </cols>
  <sheetData>
    <row r="1" spans="1:39" ht="11.25" hidden="1" customHeight="1">
      <c r="AM1" s="35" t="s">
        <v>14</v>
      </c>
    </row>
    <row r="2" spans="1:39" ht="11.25" hidden="1" customHeight="1">
      <c r="AM2" s="35">
        <v>0</v>
      </c>
    </row>
    <row r="3" spans="1:39" ht="11.55" customHeight="1">
      <c r="AM3" s="35">
        <v>11</v>
      </c>
    </row>
    <row r="4" spans="1:39" ht="35.700000000000003" customHeight="1">
      <c r="A4" s="17"/>
      <c r="B4" s="17"/>
      <c r="D4" s="1151" t="str">
        <f>Титульный!E5</f>
        <v>Показатели, подлежащие раскрытию в сфере водоотведения (цены и тарифы)</v>
      </c>
      <c r="E4" s="1152"/>
      <c r="F4" s="1152"/>
      <c r="G4" s="1152"/>
      <c r="H4" s="1152"/>
      <c r="I4" s="1153"/>
      <c r="J4" s="82"/>
      <c r="K4" s="82"/>
      <c r="L4" s="82"/>
      <c r="M4" s="82"/>
      <c r="AM4" s="35">
        <v>34</v>
      </c>
    </row>
    <row r="5" spans="1:39" s="42" customFormat="1" ht="14.7" customHeight="1">
      <c r="A5" s="17"/>
      <c r="B5" s="17"/>
      <c r="C5" s="17"/>
      <c r="D5" s="1154" t="str">
        <f>IF(org=0,"Не определено",org)</f>
        <v>АО "Юграавиа"</v>
      </c>
      <c r="E5" s="1155"/>
      <c r="F5" s="1155"/>
      <c r="G5" s="1155"/>
      <c r="H5" s="1155"/>
      <c r="I5" s="1156"/>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3" customHeight="1">
      <c r="A6" s="1143"/>
      <c r="B6" s="1143"/>
      <c r="C6" s="1143"/>
      <c r="D6" s="1143"/>
      <c r="E6" s="1143"/>
      <c r="F6" s="1143"/>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2"/>
      <c r="G7" s="1162"/>
      <c r="H7" s="1162"/>
      <c r="I7" s="1162"/>
      <c r="J7" s="1162"/>
      <c r="K7" s="1162"/>
      <c r="L7" s="1162"/>
      <c r="M7" s="1162"/>
      <c r="AM7" s="35">
        <v>0</v>
      </c>
    </row>
    <row r="8" spans="1:39" s="42" customFormat="1" ht="6.3"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7"/>
      <c r="B9" s="11"/>
      <c r="C9" s="11"/>
      <c r="D9" s="1158" t="s">
        <v>106</v>
      </c>
      <c r="E9" s="1158"/>
      <c r="F9" s="1159" t="s">
        <v>107</v>
      </c>
      <c r="G9" s="1160"/>
      <c r="H9" s="1160"/>
      <c r="I9" s="1160"/>
      <c r="J9" s="1163" t="s">
        <v>108</v>
      </c>
      <c r="K9" s="1163"/>
      <c r="L9" s="1163"/>
      <c r="M9" s="1163"/>
      <c r="AM9" s="35">
        <v>18</v>
      </c>
    </row>
    <row r="10" spans="1:39" ht="24" customHeight="1">
      <c r="A10" s="1157"/>
      <c r="B10" s="58"/>
      <c r="C10" s="298"/>
      <c r="D10" s="41" t="s">
        <v>89</v>
      </c>
      <c r="E10" s="41" t="s">
        <v>90</v>
      </c>
      <c r="F10" s="41" t="s">
        <v>109</v>
      </c>
      <c r="G10" s="1164" t="s">
        <v>89</v>
      </c>
      <c r="H10" s="1165"/>
      <c r="I10" s="41" t="s">
        <v>90</v>
      </c>
      <c r="J10" s="41" t="s">
        <v>109</v>
      </c>
      <c r="K10" s="1164" t="s">
        <v>89</v>
      </c>
      <c r="L10" s="1165"/>
      <c r="M10" s="41" t="s">
        <v>90</v>
      </c>
      <c r="N10" s="466"/>
      <c r="AM10" s="35">
        <v>23</v>
      </c>
    </row>
    <row r="11" spans="1:39" s="35" customFormat="1" ht="11.25" hidden="1" customHeight="1">
      <c r="A11" s="344"/>
      <c r="B11" s="344"/>
      <c r="C11" s="344"/>
      <c r="D11" s="345" t="s">
        <v>110</v>
      </c>
      <c r="E11" s="345" t="s">
        <v>111</v>
      </c>
      <c r="F11" s="345" t="s">
        <v>91</v>
      </c>
      <c r="G11" s="1147" t="s">
        <v>92</v>
      </c>
      <c r="H11" s="1148"/>
      <c r="I11" s="345" t="s">
        <v>112</v>
      </c>
      <c r="J11" s="345" t="s">
        <v>93</v>
      </c>
      <c r="K11" s="1149" t="s">
        <v>94</v>
      </c>
      <c r="L11" s="1150"/>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05"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69" t="s">
        <v>110</v>
      </c>
      <c r="E13" s="1170"/>
      <c r="F13" s="1173" t="s">
        <v>67</v>
      </c>
      <c r="G13" s="1174"/>
      <c r="H13" s="1175">
        <v>1</v>
      </c>
      <c r="I13" s="1166" t="str">
        <f>IF(U13="","",INDEX(TERRITORY_MR_LIST,MATCH(U13,TERRITORY_LIST_ID,0)))</f>
        <v/>
      </c>
      <c r="J13" s="1168"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9"/>
      <c r="E14" s="1171"/>
      <c r="F14" s="1168"/>
      <c r="G14" s="1174"/>
      <c r="H14" s="1175"/>
      <c r="I14" s="1167"/>
      <c r="J14" s="1168"/>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9"/>
      <c r="E15" s="1172"/>
      <c r="F15" s="1168"/>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8" hidden="1" customWidth="1"/>
    <col min="2" max="2" width="9.125" style="11" hidden="1" customWidth="1"/>
    <col min="3" max="3" width="4" style="87" customWidth="1"/>
    <col min="4" max="4" width="6" style="11" customWidth="1"/>
    <col min="5" max="5" width="36" style="11" customWidth="1"/>
    <col min="6" max="6" width="9" style="11" customWidth="1"/>
    <col min="7" max="7" width="25.75" style="11" hidden="1" customWidth="1"/>
    <col min="8" max="8" width="33.75" style="11" hidden="1" customWidth="1"/>
    <col min="9" max="9" width="25.75" style="11" customWidth="1"/>
    <col min="10" max="10" width="33" style="11" customWidth="1"/>
    <col min="11" max="11" width="93" style="63" customWidth="1"/>
    <col min="12" max="20" width="10" style="11" customWidth="1"/>
    <col min="21" max="21" width="10" style="302" customWidth="1"/>
    <col min="22" max="22" width="10.6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7"/>
      <c r="C3" s="1428" t="s">
        <v>522</v>
      </c>
      <c r="D3" s="393" t="str">
        <f>B3&amp;".1"</f>
        <v>.1</v>
      </c>
      <c r="E3" s="394" t="s">
        <v>938</v>
      </c>
      <c r="F3" s="395" t="s">
        <v>310</v>
      </c>
      <c r="G3" s="391"/>
      <c r="H3" s="228"/>
      <c r="I3" s="391"/>
      <c r="J3" s="228"/>
      <c r="K3" s="67" t="s">
        <v>939</v>
      </c>
      <c r="V3" s="11">
        <v>0</v>
      </c>
    </row>
    <row r="4" spans="1:22" ht="15" hidden="1" customHeight="1">
      <c r="A4" s="11"/>
      <c r="B4" s="1427"/>
      <c r="C4" s="1428"/>
      <c r="D4" s="393" t="str">
        <f>B3&amp;".2"</f>
        <v>.2</v>
      </c>
      <c r="E4" s="394" t="s">
        <v>940</v>
      </c>
      <c r="F4" s="395" t="s">
        <v>310</v>
      </c>
      <c r="G4" s="947" t="s">
        <v>28</v>
      </c>
      <c r="H4" s="228"/>
      <c r="I4" s="947" t="s">
        <v>28</v>
      </c>
      <c r="J4" s="228"/>
      <c r="K4" s="67" t="s">
        <v>941</v>
      </c>
      <c r="V4" s="11">
        <v>0</v>
      </c>
    </row>
    <row r="5" spans="1:22" s="63" customFormat="1" ht="15" hidden="1" customHeight="1">
      <c r="C5" s="301"/>
      <c r="U5" s="236"/>
      <c r="V5" s="63">
        <v>0</v>
      </c>
    </row>
    <row r="6" spans="1:22" ht="22.5" hidden="1" customHeight="1">
      <c r="A6" s="11"/>
      <c r="B6" s="1427"/>
      <c r="C6" s="1428" t="s">
        <v>522</v>
      </c>
      <c r="D6" s="393" t="str">
        <f>B6&amp;".1"</f>
        <v>.1</v>
      </c>
      <c r="E6" s="394" t="s">
        <v>942</v>
      </c>
      <c r="F6" s="395" t="s">
        <v>310</v>
      </c>
      <c r="G6" s="391"/>
      <c r="H6" s="228"/>
      <c r="I6" s="391"/>
      <c r="J6" s="228"/>
      <c r="K6" s="67" t="s">
        <v>943</v>
      </c>
      <c r="V6" s="11">
        <v>0</v>
      </c>
    </row>
    <row r="7" spans="1:22" ht="15" hidden="1" customHeight="1">
      <c r="A7" s="11"/>
      <c r="B7" s="1427"/>
      <c r="C7" s="1428"/>
      <c r="D7" s="393" t="str">
        <f>B6&amp;".2"</f>
        <v>.2</v>
      </c>
      <c r="E7" s="394" t="s">
        <v>940</v>
      </c>
      <c r="F7" s="395" t="s">
        <v>310</v>
      </c>
      <c r="G7" s="947" t="s">
        <v>28</v>
      </c>
      <c r="H7" s="228"/>
      <c r="I7" s="947" t="s">
        <v>28</v>
      </c>
      <c r="J7" s="228"/>
      <c r="K7" s="67" t="s">
        <v>941</v>
      </c>
      <c r="V7" s="11">
        <v>0</v>
      </c>
    </row>
    <row r="8" spans="1:22" s="63" customFormat="1" ht="15" hidden="1" customHeight="1">
      <c r="C8" s="301"/>
      <c r="U8" s="236"/>
      <c r="V8" s="63">
        <v>0</v>
      </c>
    </row>
    <row r="9" spans="1:22" ht="22.5" hidden="1" customHeight="1">
      <c r="A9" s="11"/>
      <c r="B9" s="1427"/>
      <c r="C9" s="1428" t="s">
        <v>522</v>
      </c>
      <c r="D9" s="393" t="str">
        <f>B9&amp;".1"</f>
        <v>.1</v>
      </c>
      <c r="E9" s="394" t="s">
        <v>944</v>
      </c>
      <c r="F9" s="395" t="s">
        <v>310</v>
      </c>
      <c r="G9" s="401" t="s">
        <v>28</v>
      </c>
      <c r="H9" s="228" t="s">
        <v>28</v>
      </c>
      <c r="I9" s="401" t="s">
        <v>28</v>
      </c>
      <c r="J9" s="228" t="s">
        <v>28</v>
      </c>
      <c r="K9" s="67"/>
      <c r="V9" s="11">
        <v>0</v>
      </c>
    </row>
    <row r="10" spans="1:22" ht="15" hidden="1" customHeight="1">
      <c r="A10" s="11"/>
      <c r="B10" s="1427"/>
      <c r="C10" s="1428"/>
      <c r="D10" s="393" t="str">
        <f>B9&amp;".2"</f>
        <v>.2</v>
      </c>
      <c r="E10" s="394" t="s">
        <v>945</v>
      </c>
      <c r="F10" s="395" t="s">
        <v>310</v>
      </c>
      <c r="G10" s="941" t="s">
        <v>28</v>
      </c>
      <c r="H10" s="228" t="s">
        <v>28</v>
      </c>
      <c r="I10" s="941" t="s">
        <v>28</v>
      </c>
      <c r="J10" s="228" t="s">
        <v>28</v>
      </c>
      <c r="K10" s="67" t="s">
        <v>946</v>
      </c>
      <c r="V10" s="11">
        <v>0</v>
      </c>
    </row>
    <row r="11" spans="1:22" ht="15" hidden="1" customHeight="1">
      <c r="A11" s="11"/>
      <c r="B11" s="1427"/>
      <c r="C11" s="1428"/>
      <c r="D11" s="393" t="str">
        <f>B9&amp;".3"</f>
        <v>.3</v>
      </c>
      <c r="E11" s="394" t="s">
        <v>947</v>
      </c>
      <c r="F11" s="395" t="s">
        <v>310</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427"/>
      <c r="C13" s="1428" t="s">
        <v>522</v>
      </c>
      <c r="D13" s="393" t="str">
        <f>B13&amp;".1"</f>
        <v>.1</v>
      </c>
      <c r="E13" s="394" t="s">
        <v>949</v>
      </c>
      <c r="F13" s="395" t="s">
        <v>310</v>
      </c>
      <c r="G13" s="401" t="s">
        <v>28</v>
      </c>
      <c r="H13" s="228" t="s">
        <v>28</v>
      </c>
      <c r="I13" s="401" t="s">
        <v>28</v>
      </c>
      <c r="J13" s="228" t="s">
        <v>28</v>
      </c>
      <c r="K13" s="67" t="s">
        <v>950</v>
      </c>
      <c r="V13" s="11">
        <v>0</v>
      </c>
    </row>
    <row r="14" spans="1:22" ht="15" hidden="1" customHeight="1">
      <c r="B14" s="1427"/>
      <c r="C14" s="1428"/>
      <c r="D14" s="393" t="str">
        <f>B13&amp;".2"</f>
        <v>.2</v>
      </c>
      <c r="E14" s="394" t="s">
        <v>951</v>
      </c>
      <c r="F14" s="395" t="s">
        <v>310</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5"/>
      <c r="F22" s="1275"/>
      <c r="G22" s="1275"/>
      <c r="H22" s="1275"/>
      <c r="I22" s="1275"/>
      <c r="J22" s="342"/>
      <c r="V22" s="11">
        <v>22</v>
      </c>
    </row>
    <row r="23" spans="1:22" ht="15.75" customHeight="1">
      <c r="D23" s="1247" t="str">
        <f>IF(org=0,"Не определено",org)</f>
        <v>АО "Юграавиа"</v>
      </c>
      <c r="E23" s="1247"/>
      <c r="F23" s="1247"/>
      <c r="G23" s="1247"/>
      <c r="H23" s="1247"/>
      <c r="I23" s="1247"/>
      <c r="J23" s="342"/>
      <c r="V23" s="11">
        <v>15</v>
      </c>
    </row>
    <row r="24" spans="1:22" ht="15.75" customHeight="1">
      <c r="G24" s="63">
        <v>22</v>
      </c>
      <c r="H24" s="435"/>
      <c r="I24" s="63">
        <v>22</v>
      </c>
      <c r="J24" s="435"/>
      <c r="V24" s="11">
        <v>15</v>
      </c>
    </row>
    <row r="25" spans="1:22" s="11" customFormat="1" ht="1.05" customHeight="1">
      <c r="A25" s="8"/>
      <c r="C25" s="87"/>
      <c r="G25" s="63"/>
      <c r="H25" s="435"/>
      <c r="I25" s="63" t="s">
        <v>118</v>
      </c>
      <c r="J25" s="435"/>
      <c r="K25" s="63"/>
      <c r="U25" s="302"/>
      <c r="V25" s="11">
        <v>1</v>
      </c>
    </row>
    <row r="26" spans="1:22" ht="15.75" customHeight="1">
      <c r="D26" s="409"/>
      <c r="E26" s="1404" t="s">
        <v>106</v>
      </c>
      <c r="F26" s="1405"/>
      <c r="G26" s="1429" t="str">
        <f>IF(G25="","",INDEX(DIFFERENTIATION_UNMERGE_VD,MATCH(G25,DIFFERENTIATION_ID_DIFF,0)))</f>
        <v/>
      </c>
      <c r="H26" s="1430"/>
      <c r="I26" s="1429">
        <f>IF(I25="","",INDEX(DIFFERENTIATION_UNMERGE_VD,MATCH(I25,DIFFERENTIATION_ID_DIFF,0)))</f>
        <v>0</v>
      </c>
      <c r="J26" s="1430"/>
      <c r="K26" s="1227" t="s">
        <v>305</v>
      </c>
      <c r="V26" s="11">
        <v>15</v>
      </c>
    </row>
    <row r="27" spans="1:22" s="11" customFormat="1" ht="15.75" customHeight="1">
      <c r="A27" s="8"/>
      <c r="C27" s="87"/>
      <c r="D27" s="409"/>
      <c r="E27" s="1404" t="s">
        <v>567</v>
      </c>
      <c r="F27" s="1405"/>
      <c r="G27" s="1429" t="str">
        <f>IF(G25="","",INDEX(DIFFERENTIATION_UNMERGE_AREA,MATCH(G25,DIFFERENTIATION_ID_DIFF,0)))</f>
        <v/>
      </c>
      <c r="H27" s="1430"/>
      <c r="I27" s="1429" t="str">
        <f>IF(I25="","",INDEX(DIFFERENTIATION_UNMERGE_AREA,MATCH(I25,DIFFERENTIATION_ID_DIFF,0)))</f>
        <v/>
      </c>
      <c r="J27" s="1430"/>
      <c r="K27" s="1231"/>
      <c r="U27" s="302"/>
      <c r="V27" s="11">
        <v>15</v>
      </c>
    </row>
    <row r="28" spans="1:22" s="11" customFormat="1" ht="15.75" customHeight="1">
      <c r="A28" s="8"/>
      <c r="C28" s="87"/>
      <c r="D28" s="409"/>
      <c r="E28" s="1404" t="s">
        <v>568</v>
      </c>
      <c r="F28" s="1405"/>
      <c r="G28" s="1429" t="str">
        <f>IF(G25="","",INDEX(DIFFERENTIATION_UNMERGE_SYSTEM,MATCH(G25,DIFFERENTIATION_ID_DIFF,0)))</f>
        <v/>
      </c>
      <c r="H28" s="1430"/>
      <c r="I28" s="1429" t="str">
        <f>IF(I25="","",INDEX(DIFFERENTIATION_UNMERGE_SYSTEM,MATCH(I25,DIFFERENTIATION_ID_DIFF,0)))</f>
        <v>без дифференциации</v>
      </c>
      <c r="J28" s="1430"/>
      <c r="K28" s="1231"/>
      <c r="U28" s="302"/>
      <c r="V28" s="11">
        <v>15</v>
      </c>
    </row>
    <row r="29" spans="1:22" s="11" customFormat="1" ht="15.75" customHeight="1">
      <c r="A29" s="8"/>
      <c r="C29" s="87"/>
      <c r="D29" s="1406" t="s">
        <v>304</v>
      </c>
      <c r="E29" s="1407"/>
      <c r="F29" s="1407"/>
      <c r="G29" s="512"/>
      <c r="H29" s="512"/>
      <c r="I29" s="512"/>
      <c r="J29" s="513"/>
      <c r="K29" s="1231"/>
      <c r="U29" s="302"/>
      <c r="V29" s="11">
        <v>15</v>
      </c>
    </row>
    <row r="30" spans="1:22" ht="35.700000000000003" customHeight="1">
      <c r="D30" s="41" t="s">
        <v>89</v>
      </c>
      <c r="E30" s="41" t="s">
        <v>306</v>
      </c>
      <c r="F30" s="41" t="s">
        <v>569</v>
      </c>
      <c r="G30" s="389" t="s">
        <v>307</v>
      </c>
      <c r="H30" s="41" t="s">
        <v>394</v>
      </c>
      <c r="I30" s="389" t="s">
        <v>307</v>
      </c>
      <c r="J30" s="41" t="s">
        <v>394</v>
      </c>
      <c r="K30" s="1234"/>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310</v>
      </c>
      <c r="G32" s="395" t="s">
        <v>310</v>
      </c>
      <c r="H32" s="395" t="s">
        <v>310</v>
      </c>
      <c r="I32" s="395" t="s">
        <v>310</v>
      </c>
      <c r="J32" s="395" t="s">
        <v>310</v>
      </c>
      <c r="K32" s="67"/>
      <c r="V32" s="11">
        <v>23</v>
      </c>
    </row>
    <row r="33" spans="1:22" ht="11.5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310</v>
      </c>
      <c r="G34" s="395" t="s">
        <v>310</v>
      </c>
      <c r="H34" s="395" t="s">
        <v>310</v>
      </c>
      <c r="I34" s="395"/>
      <c r="J34" s="395"/>
      <c r="K34" s="67"/>
      <c r="V34" s="11">
        <v>23</v>
      </c>
    </row>
    <row r="35" spans="1:22" ht="11.5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310</v>
      </c>
      <c r="G36" s="297" t="s">
        <v>959</v>
      </c>
      <c r="H36" s="395" t="s">
        <v>310</v>
      </c>
      <c r="I36" s="297" t="s">
        <v>959</v>
      </c>
      <c r="J36" s="395" t="s">
        <v>310</v>
      </c>
      <c r="K36" s="67" t="s">
        <v>960</v>
      </c>
      <c r="V36" s="11">
        <v>68</v>
      </c>
    </row>
    <row r="37" spans="1:22" ht="11.5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310</v>
      </c>
      <c r="G38" s="297" t="s">
        <v>959</v>
      </c>
      <c r="H38" s="41" t="s">
        <v>310</v>
      </c>
      <c r="I38" s="297" t="s">
        <v>959</v>
      </c>
      <c r="J38" s="41" t="s">
        <v>310</v>
      </c>
      <c r="K38" s="385" t="s">
        <v>964</v>
      </c>
      <c r="V38" s="11">
        <v>68</v>
      </c>
    </row>
    <row r="39" spans="1:22" ht="11.55" customHeight="1">
      <c r="A39" s="11"/>
      <c r="C39" s="11"/>
      <c r="D39" s="40"/>
      <c r="E39" s="110" t="s">
        <v>965</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303" hidden="1" customWidth="1"/>
    <col min="4" max="4" width="6.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3" customHeight="1">
      <c r="F5" s="1275" t="str">
        <f>IP_NAME_FORM</f>
        <v>Форма 7. Информация об инвестиционных программах организации водоотведения и отчетах об их исполнении</v>
      </c>
      <c r="G5" s="1275"/>
      <c r="H5" s="1275"/>
      <c r="I5" s="1275"/>
      <c r="J5" s="1275"/>
      <c r="K5" s="1275"/>
      <c r="M5" s="17"/>
      <c r="AE5" s="11">
        <v>26</v>
      </c>
    </row>
    <row r="6" spans="1:31" s="11" customFormat="1" ht="16.8" customHeight="1">
      <c r="A6" s="303"/>
      <c r="B6" s="303"/>
      <c r="C6" s="303"/>
      <c r="D6" s="63"/>
      <c r="F6" s="1247" t="str">
        <f>IF(org=0,"Не определено",org)</f>
        <v>АО "Юграавиа"</v>
      </c>
      <c r="G6" s="1247"/>
      <c r="H6" s="1247"/>
      <c r="I6" s="1247"/>
      <c r="J6" s="1247"/>
      <c r="K6" s="1247"/>
      <c r="M6" s="17"/>
      <c r="AE6" s="11">
        <v>16</v>
      </c>
    </row>
    <row r="7" spans="1:31" ht="10.5" customHeight="1">
      <c r="AE7" s="11">
        <v>10</v>
      </c>
    </row>
    <row r="8" spans="1:31" ht="10.5" customHeight="1">
      <c r="F8" s="1140" t="s">
        <v>304</v>
      </c>
      <c r="G8" s="1145"/>
      <c r="H8" s="1145"/>
      <c r="I8" s="1145"/>
      <c r="J8" s="1145"/>
      <c r="K8" s="1145"/>
      <c r="L8" s="1145"/>
      <c r="M8" s="1145"/>
      <c r="N8" s="1145"/>
      <c r="O8" s="1145"/>
      <c r="P8" s="1145"/>
      <c r="Q8" s="1145"/>
      <c r="R8" s="1145"/>
      <c r="S8" s="1145"/>
      <c r="T8" s="1145"/>
      <c r="U8" s="1145"/>
      <c r="V8" s="1145"/>
      <c r="W8" s="1145"/>
      <c r="X8" s="1145"/>
      <c r="Y8" s="1145"/>
      <c r="Z8" s="1145"/>
      <c r="AA8" s="1145"/>
      <c r="AB8" s="1139"/>
      <c r="AE8" s="11">
        <v>10</v>
      </c>
    </row>
    <row r="9" spans="1:31" ht="43.05" customHeight="1">
      <c r="A9" s="526"/>
      <c r="B9" s="526"/>
      <c r="C9" s="526"/>
      <c r="F9" s="1158" t="s">
        <v>89</v>
      </c>
      <c r="G9" s="1158" t="s">
        <v>966</v>
      </c>
      <c r="H9" s="1227" t="s">
        <v>967</v>
      </c>
      <c r="I9" s="1158" t="s">
        <v>968</v>
      </c>
      <c r="J9" s="1158" t="s">
        <v>969</v>
      </c>
      <c r="K9" s="1158" t="s">
        <v>970</v>
      </c>
      <c r="L9" s="1158" t="s">
        <v>971</v>
      </c>
      <c r="M9" s="1158" t="s">
        <v>972</v>
      </c>
      <c r="N9" s="1255" t="s">
        <v>973</v>
      </c>
      <c r="O9" s="1255"/>
      <c r="P9" s="1255"/>
      <c r="Q9" s="1308" t="s">
        <v>974</v>
      </c>
      <c r="R9" s="1309"/>
      <c r="S9" s="1309"/>
      <c r="T9" s="1310"/>
      <c r="U9" s="1308" t="s">
        <v>975</v>
      </c>
      <c r="V9" s="1309"/>
      <c r="W9" s="1309"/>
      <c r="X9" s="1310"/>
      <c r="Y9" s="1140" t="s">
        <v>976</v>
      </c>
      <c r="Z9" s="1145"/>
      <c r="AA9" s="1145"/>
      <c r="AB9" s="1139"/>
      <c r="AE9" s="11">
        <v>41</v>
      </c>
    </row>
    <row r="10" spans="1:31" ht="43.05" customHeight="1">
      <c r="A10" s="526"/>
      <c r="B10" s="526"/>
      <c r="C10" s="526"/>
      <c r="F10" s="1227"/>
      <c r="G10" s="1227"/>
      <c r="H10" s="1280"/>
      <c r="I10" s="1227"/>
      <c r="J10" s="1227"/>
      <c r="K10" s="1227"/>
      <c r="L10" s="1227"/>
      <c r="M10" s="1227"/>
      <c r="N10" s="524" t="s">
        <v>977</v>
      </c>
      <c r="O10" s="524" t="s">
        <v>978</v>
      </c>
      <c r="P10" s="525" t="s">
        <v>979</v>
      </c>
      <c r="Q10" s="524" t="s">
        <v>90</v>
      </c>
      <c r="R10" s="524" t="s">
        <v>980</v>
      </c>
      <c r="S10" s="524" t="s">
        <v>981</v>
      </c>
      <c r="T10" s="528" t="s">
        <v>982</v>
      </c>
      <c r="U10" s="524" t="s">
        <v>90</v>
      </c>
      <c r="V10" s="524" t="s">
        <v>983</v>
      </c>
      <c r="W10" s="524" t="s">
        <v>981</v>
      </c>
      <c r="X10" s="528" t="s">
        <v>982</v>
      </c>
      <c r="Y10" s="172" t="s">
        <v>984</v>
      </c>
      <c r="Z10" s="1140" t="s">
        <v>89</v>
      </c>
      <c r="AA10" s="1139"/>
      <c r="AB10" s="41" t="s">
        <v>985</v>
      </c>
      <c r="AE10" s="11">
        <v>41</v>
      </c>
    </row>
    <row r="11" spans="1:31" s="68" customFormat="1" ht="5.25" hidden="1" customHeight="1">
      <c r="A11" s="313"/>
      <c r="B11" s="313"/>
      <c r="C11" s="313"/>
      <c r="E11" s="122"/>
      <c r="F11" s="1220" t="s">
        <v>380</v>
      </c>
      <c r="G11" s="1434"/>
      <c r="H11" s="1431"/>
      <c r="I11" s="1431"/>
      <c r="J11" s="1431"/>
      <c r="K11" s="1433"/>
      <c r="L11" s="1433"/>
      <c r="M11" s="1433"/>
      <c r="N11" s="1431"/>
      <c r="O11" s="1431"/>
      <c r="P11" s="1158"/>
      <c r="Q11" s="1237"/>
      <c r="R11" s="1237"/>
      <c r="S11" s="1237"/>
      <c r="T11" s="1431"/>
      <c r="U11" s="1237"/>
      <c r="V11" s="1237"/>
      <c r="W11" s="1237"/>
      <c r="X11" s="1431"/>
      <c r="Y11" s="1169"/>
      <c r="Z11" s="1169"/>
      <c r="AA11" s="1169"/>
      <c r="AB11" s="1169"/>
      <c r="AD11" s="68" t="s">
        <v>986</v>
      </c>
      <c r="AE11" s="68">
        <v>0</v>
      </c>
    </row>
    <row r="12" spans="1:31" s="68" customFormat="1" ht="5.25" hidden="1" customHeight="1">
      <c r="A12" s="313"/>
      <c r="B12" s="313"/>
      <c r="C12" s="313"/>
      <c r="F12" s="1220"/>
      <c r="G12" s="1434"/>
      <c r="H12" s="1431"/>
      <c r="I12" s="1431"/>
      <c r="J12" s="1431"/>
      <c r="K12" s="1433"/>
      <c r="L12" s="1433"/>
      <c r="M12" s="1433"/>
      <c r="N12" s="1431"/>
      <c r="O12" s="1431"/>
      <c r="P12" s="1158"/>
      <c r="Q12" s="1237"/>
      <c r="R12" s="1237"/>
      <c r="S12" s="1237"/>
      <c r="T12" s="1431"/>
      <c r="U12" s="1237"/>
      <c r="V12" s="1237"/>
      <c r="W12" s="1237"/>
      <c r="X12" s="1431"/>
      <c r="Y12" s="1432"/>
      <c r="Z12" s="1432"/>
      <c r="AA12" s="1432"/>
      <c r="AB12" s="1432"/>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303" hidden="1" customWidth="1"/>
    <col min="4" max="4" width="4.1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625" style="11" hidden="1" customWidth="1"/>
    <col min="31" max="31" width="15.75" style="11" hidden="1" customWidth="1"/>
    <col min="32" max="34" width="16" style="11" customWidth="1"/>
    <col min="35" max="37" width="16.75" style="11" hidden="1" customWidth="1"/>
    <col min="38" max="58" width="8" style="11" customWidth="1"/>
    <col min="59" max="59" width="9.1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3" customHeight="1">
      <c r="F5" s="1275" t="str">
        <f>IP_NAME_FORM</f>
        <v>Форма 7. Информация об инвестиционных программах организации водоотведения и отчетах об их исполнении</v>
      </c>
      <c r="G5" s="1275"/>
      <c r="H5" s="1275"/>
      <c r="I5" s="1275"/>
      <c r="J5" s="1275"/>
      <c r="K5" s="1275"/>
      <c r="L5" s="668"/>
      <c r="M5" s="668"/>
      <c r="BG5" s="11">
        <v>26</v>
      </c>
    </row>
    <row r="6" spans="1:59" ht="10.5" customHeight="1">
      <c r="F6" s="1247" t="str">
        <f>IF(org=0,"Не определено",org)</f>
        <v>АО "Юграавиа"</v>
      </c>
      <c r="G6" s="1247"/>
      <c r="H6" s="1247"/>
      <c r="I6" s="1247"/>
      <c r="J6" s="1247"/>
      <c r="K6" s="1247"/>
      <c r="L6" s="668"/>
      <c r="M6" s="668"/>
      <c r="BG6" s="11">
        <v>10</v>
      </c>
    </row>
    <row r="7" spans="1:59" ht="11.5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7" t="s">
        <v>304</v>
      </c>
      <c r="G8" s="1438"/>
      <c r="H8" s="1438"/>
      <c r="I8" s="1438"/>
      <c r="J8" s="1438"/>
      <c r="K8" s="1438"/>
      <c r="L8" s="1438"/>
      <c r="M8" s="1438"/>
      <c r="N8" s="1438"/>
      <c r="O8" s="1438"/>
      <c r="P8" s="1438"/>
      <c r="Q8" s="1438"/>
      <c r="R8" s="1438"/>
      <c r="S8" s="1438"/>
      <c r="T8" s="1438"/>
      <c r="U8" s="1438"/>
      <c r="V8" s="1438"/>
      <c r="W8" s="1438"/>
      <c r="X8" s="1438"/>
      <c r="Y8" s="1438"/>
      <c r="Z8" s="1438"/>
      <c r="AA8" s="1438"/>
      <c r="AB8" s="1438"/>
      <c r="AC8" s="1438"/>
      <c r="AD8" s="1438"/>
      <c r="AE8" s="1438"/>
      <c r="AF8" s="1438"/>
      <c r="AG8" s="1438"/>
      <c r="AH8" s="1438"/>
      <c r="AI8" s="1438"/>
      <c r="AJ8" s="1438"/>
      <c r="AK8" s="1439"/>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5" t="s">
        <v>988</v>
      </c>
      <c r="G9" s="1356" t="s">
        <v>989</v>
      </c>
      <c r="H9" s="1420"/>
      <c r="I9" s="1158" t="s">
        <v>990</v>
      </c>
      <c r="J9" s="1158"/>
      <c r="K9" s="1158" t="s">
        <v>991</v>
      </c>
      <c r="L9" s="1158"/>
      <c r="M9" s="1158"/>
      <c r="N9" s="1158"/>
      <c r="O9" s="1158"/>
      <c r="P9" s="1158"/>
      <c r="Q9" s="1158"/>
      <c r="R9" s="1158"/>
      <c r="S9" s="1158"/>
      <c r="T9" s="1158"/>
      <c r="U9" s="1158"/>
      <c r="V9" s="1158"/>
      <c r="W9" s="1158"/>
      <c r="X9" s="1158"/>
      <c r="Y9" s="1158"/>
      <c r="Z9" s="1228" t="s">
        <v>992</v>
      </c>
      <c r="AA9" s="1229"/>
      <c r="AB9" s="1158" t="s">
        <v>993</v>
      </c>
      <c r="AC9" s="1158"/>
      <c r="AD9" s="1158"/>
      <c r="AE9" s="1158"/>
      <c r="AF9" s="1227" t="s">
        <v>994</v>
      </c>
      <c r="AG9" s="1158" t="s">
        <v>995</v>
      </c>
      <c r="AH9" s="1158"/>
      <c r="AI9" s="1227" t="s">
        <v>996</v>
      </c>
      <c r="AJ9" s="1158" t="s">
        <v>997</v>
      </c>
      <c r="AK9" s="1158"/>
      <c r="AM9" s="34"/>
      <c r="AN9" s="34"/>
      <c r="AO9" s="34"/>
      <c r="AP9" s="34"/>
      <c r="AQ9" s="34"/>
      <c r="AR9" s="34"/>
      <c r="AS9" s="34"/>
      <c r="AT9" s="34"/>
      <c r="AU9" s="34"/>
      <c r="AV9" s="34"/>
      <c r="AW9" s="34"/>
      <c r="AX9" s="34"/>
      <c r="AY9" s="34"/>
      <c r="AZ9" s="34"/>
      <c r="BA9" s="34"/>
      <c r="BB9" s="34"/>
      <c r="BC9" s="34"/>
      <c r="BD9" s="34"/>
      <c r="BE9" s="34"/>
      <c r="BF9" s="34"/>
      <c r="BG9" s="11">
        <v>23</v>
      </c>
    </row>
    <row r="10" spans="1:59" ht="25.2" customHeight="1">
      <c r="A10" s="526"/>
      <c r="B10" s="526"/>
      <c r="C10" s="526"/>
      <c r="E10" s="10"/>
      <c r="F10" s="1255"/>
      <c r="G10" s="1357"/>
      <c r="H10" s="1259"/>
      <c r="I10" s="1158"/>
      <c r="J10" s="1158"/>
      <c r="K10" s="1158" t="s">
        <v>998</v>
      </c>
      <c r="L10" s="1140" t="s">
        <v>999</v>
      </c>
      <c r="M10" s="1139"/>
      <c r="N10" s="1158" t="s">
        <v>1000</v>
      </c>
      <c r="O10" s="1158"/>
      <c r="P10" s="1158"/>
      <c r="Q10" s="1158"/>
      <c r="R10" s="1158"/>
      <c r="S10" s="1158"/>
      <c r="T10" s="1158"/>
      <c r="U10" s="1158"/>
      <c r="V10" s="1158"/>
      <c r="W10" s="1158"/>
      <c r="X10" s="1158"/>
      <c r="Y10" s="1158"/>
      <c r="Z10" s="1230"/>
      <c r="AA10" s="1231"/>
      <c r="AB10" s="1158"/>
      <c r="AC10" s="1158"/>
      <c r="AD10" s="1158"/>
      <c r="AE10" s="1158"/>
      <c r="AF10" s="1232"/>
      <c r="AG10" s="1158"/>
      <c r="AH10" s="1158"/>
      <c r="AI10" s="1232"/>
      <c r="AJ10" s="1158"/>
      <c r="AK10" s="1158"/>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2" customHeight="1">
      <c r="A11" s="526"/>
      <c r="B11" s="526"/>
      <c r="C11" s="526"/>
      <c r="D11" s="63"/>
      <c r="E11" s="10"/>
      <c r="F11" s="1255"/>
      <c r="G11" s="1357"/>
      <c r="H11" s="1259"/>
      <c r="I11" s="1158"/>
      <c r="J11" s="1158"/>
      <c r="K11" s="1158"/>
      <c r="L11" s="1227" t="s">
        <v>1001</v>
      </c>
      <c r="M11" s="1227" t="s">
        <v>1002</v>
      </c>
      <c r="N11" s="1158" t="s">
        <v>1003</v>
      </c>
      <c r="O11" s="1158"/>
      <c r="P11" s="1217" t="s">
        <v>984</v>
      </c>
      <c r="Q11" s="1217" t="s">
        <v>1004</v>
      </c>
      <c r="R11" s="1217" t="s">
        <v>1005</v>
      </c>
      <c r="S11" s="1217" t="s">
        <v>1006</v>
      </c>
      <c r="T11" s="1217"/>
      <c r="U11" s="1217"/>
      <c r="V11" s="1217"/>
      <c r="W11" s="1217"/>
      <c r="X11" s="1217"/>
      <c r="Y11" s="1217"/>
      <c r="Z11" s="1230"/>
      <c r="AA11" s="1231"/>
      <c r="AB11" s="1158" t="s">
        <v>1007</v>
      </c>
      <c r="AC11" s="1158"/>
      <c r="AD11" s="1140" t="s">
        <v>1008</v>
      </c>
      <c r="AE11" s="1139"/>
      <c r="AF11" s="1232"/>
      <c r="AG11" s="1158"/>
      <c r="AH11" s="1158"/>
      <c r="AI11" s="1232"/>
      <c r="AJ11" s="1158"/>
      <c r="AK11" s="1158"/>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700000000000003" customHeight="1">
      <c r="A12" s="526"/>
      <c r="B12" s="526"/>
      <c r="C12" s="526"/>
      <c r="E12" s="10"/>
      <c r="F12" s="1255"/>
      <c r="G12" s="1358"/>
      <c r="H12" s="1436"/>
      <c r="I12" s="41" t="s">
        <v>90</v>
      </c>
      <c r="J12" s="41" t="s">
        <v>1009</v>
      </c>
      <c r="K12" s="1158"/>
      <c r="L12" s="1280"/>
      <c r="M12" s="1280"/>
      <c r="N12" s="1158"/>
      <c r="O12" s="1158"/>
      <c r="P12" s="1217"/>
      <c r="Q12" s="1217"/>
      <c r="R12" s="1217"/>
      <c r="S12" s="39" t="s">
        <v>87</v>
      </c>
      <c r="T12" s="39" t="s">
        <v>88</v>
      </c>
      <c r="U12" s="39" t="s">
        <v>86</v>
      </c>
      <c r="V12" s="39" t="s">
        <v>1010</v>
      </c>
      <c r="W12" s="39" t="s">
        <v>86</v>
      </c>
      <c r="X12" s="39" t="s">
        <v>1011</v>
      </c>
      <c r="Y12" s="39" t="s">
        <v>1012</v>
      </c>
      <c r="Z12" s="1233"/>
      <c r="AA12" s="1234"/>
      <c r="AB12" s="41" t="s">
        <v>1013</v>
      </c>
      <c r="AC12" s="41" t="s">
        <v>1014</v>
      </c>
      <c r="AD12" s="41" t="s">
        <v>1013</v>
      </c>
      <c r="AE12" s="41" t="s">
        <v>1014</v>
      </c>
      <c r="AF12" s="1280"/>
      <c r="AG12" s="41" t="s">
        <v>1015</v>
      </c>
      <c r="AH12" s="41" t="s">
        <v>1016</v>
      </c>
      <c r="AI12" s="1280"/>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05"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35"/>
      <c r="G17" s="1435"/>
      <c r="H17" s="1435"/>
      <c r="I17" s="1435"/>
      <c r="J17" s="1435"/>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35"/>
      <c r="G18" s="1435"/>
      <c r="H18" s="1435"/>
      <c r="I18" s="1435"/>
      <c r="J18" s="1435"/>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35"/>
      <c r="G19" s="1435"/>
      <c r="H19" s="1435"/>
      <c r="I19" s="1435"/>
      <c r="J19" s="1435"/>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303" hidden="1" customWidth="1"/>
    <col min="4" max="4" width="4.125" style="63" hidden="1" customWidth="1"/>
    <col min="5" max="5" width="3" style="11" customWidth="1"/>
    <col min="6" max="6" width="6" style="11" customWidth="1"/>
    <col min="7" max="7" width="60" style="11" customWidth="1"/>
    <col min="8" max="9" width="21.75" style="11" hidden="1" customWidth="1"/>
    <col min="10" max="10" width="0.125" style="11" customWidth="1"/>
    <col min="11" max="11" width="1" style="11" customWidth="1"/>
    <col min="12" max="22" width="8" style="11" customWidth="1"/>
    <col min="23" max="23" width="9.1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3" customHeight="1">
      <c r="F5" s="127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75"/>
      <c r="H5" s="1275"/>
      <c r="I5" s="1275"/>
      <c r="J5" s="1275"/>
      <c r="W5" s="11">
        <v>26</v>
      </c>
    </row>
    <row r="6" spans="1:23" ht="10.5" customHeight="1">
      <c r="F6" s="1247" t="str">
        <f>IF(org=0,"Не определено",org)</f>
        <v>АО "Юграавиа"</v>
      </c>
      <c r="G6" s="1247"/>
      <c r="H6" s="1247"/>
      <c r="I6" s="1247"/>
      <c r="J6" s="1247"/>
      <c r="W6" s="11">
        <v>10</v>
      </c>
    </row>
    <row r="7" spans="1:23" ht="11.55" customHeight="1">
      <c r="E7" s="10"/>
      <c r="F7" s="710"/>
      <c r="G7" s="710"/>
      <c r="H7" s="710"/>
      <c r="I7" s="710"/>
      <c r="J7" s="710"/>
      <c r="K7" s="34"/>
      <c r="L7" s="34"/>
      <c r="M7" s="34"/>
      <c r="N7" s="34"/>
      <c r="O7" s="34"/>
      <c r="P7" s="34"/>
      <c r="Q7" s="34"/>
      <c r="R7" s="34"/>
      <c r="S7" s="34"/>
      <c r="T7" s="34"/>
      <c r="U7" s="34"/>
      <c r="V7" s="34"/>
      <c r="W7" s="11">
        <v>11</v>
      </c>
    </row>
    <row r="8" spans="1:23" s="68" customFormat="1" ht="4.2"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40" t="s">
        <v>304</v>
      </c>
      <c r="G9" s="1441"/>
      <c r="H9" s="1441"/>
      <c r="I9" s="1441"/>
      <c r="J9" s="1441"/>
      <c r="K9" s="718"/>
      <c r="L9" s="34"/>
      <c r="M9" s="34"/>
      <c r="N9" s="34"/>
      <c r="O9" s="34"/>
      <c r="P9" s="34"/>
      <c r="Q9" s="34"/>
      <c r="R9" s="34"/>
      <c r="S9" s="34"/>
      <c r="T9" s="34"/>
      <c r="U9" s="34"/>
      <c r="V9" s="34"/>
      <c r="W9" s="11">
        <v>10</v>
      </c>
    </row>
    <row r="10" spans="1:23" ht="25.2" customHeight="1">
      <c r="E10" s="34"/>
      <c r="F10" s="1444" t="s">
        <v>89</v>
      </c>
      <c r="G10" s="1448" t="s">
        <v>1018</v>
      </c>
      <c r="H10" s="1431" t="s">
        <v>1019</v>
      </c>
      <c r="I10" s="1431"/>
      <c r="J10" s="1431"/>
      <c r="K10" s="713"/>
      <c r="L10" s="34"/>
      <c r="M10" s="34"/>
      <c r="N10" s="34"/>
      <c r="O10" s="34"/>
      <c r="P10" s="34"/>
      <c r="Q10" s="34"/>
      <c r="R10" s="34"/>
      <c r="S10" s="34"/>
      <c r="T10" s="34"/>
      <c r="U10" s="34"/>
      <c r="V10" s="34"/>
      <c r="W10" s="11">
        <v>24</v>
      </c>
    </row>
    <row r="11" spans="1:23" ht="25.5" customHeight="1">
      <c r="E11" s="34"/>
      <c r="F11" s="1445"/>
      <c r="G11" s="1448"/>
      <c r="H11" s="1447" t="e">
        <f>INDEX(IP_MAIN_LIST_NAME_IP,MATCH(H8,IP_MAIN_LIST_IP_ID,0))&amp;" ("&amp;INDEX(IP_MAIN_START_DATE,MATCH(H8,IP_MAIN_LIST_IP_ID,0))&amp;"-"&amp;INDEX(IP_MAIN_END_DATE,MATCH(H8,IP_MAIN_LIST_IP_ID,0))&amp;")"</f>
        <v>#N/A</v>
      </c>
      <c r="I11" s="1447"/>
      <c r="J11" s="1447"/>
      <c r="K11" s="713"/>
      <c r="L11" s="34"/>
      <c r="M11" s="34"/>
      <c r="N11" s="34"/>
      <c r="O11" s="34"/>
      <c r="P11" s="34"/>
      <c r="Q11" s="34"/>
      <c r="R11" s="34"/>
      <c r="S11" s="34"/>
      <c r="T11" s="34"/>
      <c r="U11" s="34"/>
      <c r="V11" s="34"/>
      <c r="W11" s="11">
        <v>24</v>
      </c>
    </row>
    <row r="12" spans="1:23" ht="10.5" customHeight="1">
      <c r="F12" s="1446"/>
      <c r="G12" s="1448"/>
      <c r="H12" s="148" t="s">
        <v>1020</v>
      </c>
      <c r="I12" s="712"/>
      <c r="J12" s="148"/>
      <c r="K12" s="714"/>
      <c r="W12" s="11">
        <v>10</v>
      </c>
    </row>
    <row r="13" spans="1:23" ht="10.5" hidden="1" customHeight="1">
      <c r="F13" s="148">
        <v>1</v>
      </c>
      <c r="G13" s="148">
        <v>2</v>
      </c>
      <c r="H13" s="148">
        <v>3</v>
      </c>
      <c r="I13" s="148">
        <v>4</v>
      </c>
      <c r="J13" s="148">
        <v>5</v>
      </c>
      <c r="K13" s="714"/>
      <c r="W13" s="11">
        <v>0</v>
      </c>
    </row>
    <row r="14" spans="1:23" ht="11.55" customHeight="1">
      <c r="F14" s="242" t="s">
        <v>1021</v>
      </c>
      <c r="G14" s="1442" t="s">
        <v>1022</v>
      </c>
      <c r="H14" s="1442"/>
      <c r="I14" s="1442"/>
      <c r="J14" s="1442"/>
      <c r="K14" s="714"/>
      <c r="W14" s="11">
        <v>11</v>
      </c>
    </row>
    <row r="15" spans="1:23" ht="11.5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700000000000003" customHeight="1">
      <c r="F18" s="148" t="s">
        <v>1028</v>
      </c>
      <c r="G18" s="716" t="s">
        <v>1029</v>
      </c>
      <c r="H18" s="364">
        <f t="shared" si="0"/>
        <v>0</v>
      </c>
      <c r="I18" s="715"/>
      <c r="J18" s="242"/>
      <c r="K18" s="714"/>
      <c r="W18" s="11">
        <v>34</v>
      </c>
    </row>
    <row r="19" spans="6:23" ht="35.700000000000003" customHeight="1">
      <c r="F19" s="148" t="s">
        <v>1030</v>
      </c>
      <c r="G19" s="716" t="s">
        <v>1031</v>
      </c>
      <c r="H19" s="364">
        <f t="shared" si="0"/>
        <v>0</v>
      </c>
      <c r="I19" s="715"/>
      <c r="J19" s="242"/>
      <c r="K19" s="714"/>
      <c r="W19" s="11">
        <v>34</v>
      </c>
    </row>
    <row r="20" spans="6:23" ht="48.3" customHeight="1">
      <c r="F20" s="148" t="s">
        <v>1032</v>
      </c>
      <c r="G20" s="716" t="s">
        <v>1033</v>
      </c>
      <c r="H20" s="364">
        <f t="shared" si="0"/>
        <v>0</v>
      </c>
      <c r="I20" s="715"/>
      <c r="J20" s="242"/>
      <c r="K20" s="714"/>
      <c r="W20" s="11">
        <v>46</v>
      </c>
    </row>
    <row r="21" spans="6:23" ht="35.700000000000003" customHeight="1">
      <c r="F21" s="148" t="s">
        <v>1034</v>
      </c>
      <c r="G21" s="716" t="s">
        <v>1035</v>
      </c>
      <c r="H21" s="364">
        <f t="shared" si="0"/>
        <v>0</v>
      </c>
      <c r="I21" s="715"/>
      <c r="J21" s="242"/>
      <c r="K21" s="714"/>
      <c r="W21" s="11">
        <v>34</v>
      </c>
    </row>
    <row r="22" spans="6:23" ht="35.700000000000003"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700000000000003" customHeight="1">
      <c r="F25" s="148" t="s">
        <v>1042</v>
      </c>
      <c r="G25" s="716" t="s">
        <v>1043</v>
      </c>
      <c r="H25" s="364">
        <f t="shared" si="0"/>
        <v>0</v>
      </c>
      <c r="I25" s="715"/>
      <c r="J25" s="242"/>
      <c r="K25" s="714"/>
      <c r="W25" s="11">
        <v>34</v>
      </c>
    </row>
    <row r="26" spans="6:23" ht="35.700000000000003" customHeight="1">
      <c r="F26" s="148" t="s">
        <v>1044</v>
      </c>
      <c r="G26" s="716" t="s">
        <v>1045</v>
      </c>
      <c r="H26" s="364">
        <f t="shared" si="0"/>
        <v>0</v>
      </c>
      <c r="I26" s="715"/>
      <c r="J26" s="242"/>
      <c r="K26" s="714"/>
      <c r="W26" s="11">
        <v>34</v>
      </c>
    </row>
    <row r="27" spans="6:23" ht="11.55" customHeight="1">
      <c r="F27" s="148" t="s">
        <v>1046</v>
      </c>
      <c r="G27" s="716" t="s">
        <v>1047</v>
      </c>
      <c r="H27" s="364">
        <f t="shared" si="0"/>
        <v>0</v>
      </c>
      <c r="I27" s="715"/>
      <c r="J27" s="242"/>
      <c r="K27" s="714"/>
      <c r="W27" s="11">
        <v>11</v>
      </c>
    </row>
    <row r="28" spans="6:23" ht="11.55" customHeight="1">
      <c r="F28" s="148">
        <v>2</v>
      </c>
      <c r="G28" s="394" t="s">
        <v>1048</v>
      </c>
      <c r="H28" s="364">
        <f t="shared" si="0"/>
        <v>0</v>
      </c>
      <c r="I28" s="364">
        <f>SUM(I29:I31)</f>
        <v>0</v>
      </c>
      <c r="J28" s="242"/>
      <c r="K28" s="714"/>
      <c r="W28" s="11">
        <v>11</v>
      </c>
    </row>
    <row r="29" spans="6:23" ht="11.55" customHeight="1">
      <c r="F29" s="148" t="s">
        <v>711</v>
      </c>
      <c r="G29" s="716" t="s">
        <v>1049</v>
      </c>
      <c r="H29" s="364">
        <f t="shared" si="0"/>
        <v>0</v>
      </c>
      <c r="I29" s="715"/>
      <c r="J29" s="242"/>
      <c r="K29" s="714"/>
      <c r="W29" s="11">
        <v>11</v>
      </c>
    </row>
    <row r="30" spans="6:23" ht="11.55" customHeight="1">
      <c r="F30" s="148" t="s">
        <v>311</v>
      </c>
      <c r="G30" s="716" t="s">
        <v>1050</v>
      </c>
      <c r="H30" s="364">
        <f t="shared" si="0"/>
        <v>0</v>
      </c>
      <c r="I30" s="715"/>
      <c r="J30" s="242"/>
      <c r="K30" s="714"/>
      <c r="W30" s="11">
        <v>11</v>
      </c>
    </row>
    <row r="31" spans="6:23" ht="11.55" customHeight="1">
      <c r="F31" s="148" t="s">
        <v>314</v>
      </c>
      <c r="G31" s="716" t="s">
        <v>1051</v>
      </c>
      <c r="H31" s="364">
        <f t="shared" si="0"/>
        <v>0</v>
      </c>
      <c r="I31" s="715"/>
      <c r="J31" s="242"/>
      <c r="K31" s="714"/>
      <c r="W31" s="11">
        <v>11</v>
      </c>
    </row>
    <row r="32" spans="6:23" ht="11.55" customHeight="1">
      <c r="F32" s="148">
        <v>3</v>
      </c>
      <c r="G32" s="394" t="s">
        <v>1052</v>
      </c>
      <c r="H32" s="364">
        <f t="shared" si="0"/>
        <v>0</v>
      </c>
      <c r="I32" s="364">
        <f>SUM(I33:I34)</f>
        <v>0</v>
      </c>
      <c r="J32" s="242"/>
      <c r="K32" s="714"/>
      <c r="W32" s="11">
        <v>11</v>
      </c>
    </row>
    <row r="33" spans="6:23" ht="48.3" customHeight="1">
      <c r="F33" s="148" t="s">
        <v>328</v>
      </c>
      <c r="G33" s="716" t="s">
        <v>1053</v>
      </c>
      <c r="H33" s="364">
        <f t="shared" si="0"/>
        <v>0</v>
      </c>
      <c r="I33" s="715"/>
      <c r="J33" s="242"/>
      <c r="K33" s="714"/>
      <c r="W33" s="11">
        <v>46</v>
      </c>
    </row>
    <row r="34" spans="6:23" ht="11.55" customHeight="1">
      <c r="F34" s="148" t="s">
        <v>336</v>
      </c>
      <c r="G34" s="716" t="s">
        <v>1054</v>
      </c>
      <c r="H34" s="364">
        <f t="shared" si="0"/>
        <v>0</v>
      </c>
      <c r="I34" s="715"/>
      <c r="J34" s="242"/>
      <c r="K34" s="714"/>
      <c r="W34" s="11">
        <v>11</v>
      </c>
    </row>
    <row r="35" spans="6:23" ht="11.55" customHeight="1">
      <c r="F35" s="148">
        <v>4</v>
      </c>
      <c r="G35" s="394" t="s">
        <v>1055</v>
      </c>
      <c r="H35" s="364">
        <f t="shared" si="0"/>
        <v>0</v>
      </c>
      <c r="I35" s="715"/>
      <c r="J35" s="242"/>
      <c r="K35" s="714"/>
      <c r="W35" s="11">
        <v>11</v>
      </c>
    </row>
    <row r="36" spans="6:23" ht="11.55" customHeight="1">
      <c r="F36" s="148"/>
      <c r="G36" s="397" t="s">
        <v>1056</v>
      </c>
      <c r="H36" s="364">
        <f t="shared" si="0"/>
        <v>0</v>
      </c>
      <c r="I36" s="364">
        <f>SUM(I15,I28,I32,I35)</f>
        <v>0</v>
      </c>
      <c r="J36" s="242"/>
      <c r="K36" s="714"/>
      <c r="W36" s="11">
        <v>11</v>
      </c>
    </row>
    <row r="37" spans="6:23" ht="29.25" customHeight="1">
      <c r="F37" s="242" t="s">
        <v>1057</v>
      </c>
      <c r="G37" s="1443" t="s">
        <v>1058</v>
      </c>
      <c r="H37" s="1443"/>
      <c r="I37" s="1443"/>
      <c r="J37" s="1443"/>
      <c r="K37" s="714"/>
      <c r="W37" s="11">
        <v>28</v>
      </c>
    </row>
    <row r="38" spans="6:23" ht="24" customHeight="1">
      <c r="F38" s="148" t="s">
        <v>110</v>
      </c>
      <c r="G38" s="394" t="s">
        <v>1059</v>
      </c>
      <c r="H38" s="364">
        <f t="shared" ref="H38:H58" si="1">SUM(I38:J38)</f>
        <v>0</v>
      </c>
      <c r="I38" s="364">
        <f>SUM(I39,I44,I47)</f>
        <v>0</v>
      </c>
      <c r="J38" s="242"/>
      <c r="K38" s="714"/>
      <c r="W38" s="11">
        <v>23</v>
      </c>
    </row>
    <row r="39" spans="6:23" ht="11.5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55" customHeight="1">
      <c r="F41" s="148" t="s">
        <v>1062</v>
      </c>
      <c r="G41" s="717" t="s">
        <v>1063</v>
      </c>
      <c r="H41" s="364">
        <f t="shared" si="1"/>
        <v>0</v>
      </c>
      <c r="I41" s="715"/>
      <c r="J41" s="242"/>
      <c r="K41" s="714"/>
      <c r="W41" s="11">
        <v>11</v>
      </c>
    </row>
    <row r="42" spans="6:23" ht="11.55" customHeight="1">
      <c r="F42" s="148" t="s">
        <v>1064</v>
      </c>
      <c r="G42" s="717" t="s">
        <v>1065</v>
      </c>
      <c r="H42" s="364">
        <f t="shared" si="1"/>
        <v>0</v>
      </c>
      <c r="I42" s="715"/>
      <c r="J42" s="242"/>
      <c r="K42" s="714"/>
      <c r="W42" s="11">
        <v>11</v>
      </c>
    </row>
    <row r="43" spans="6:23" ht="35.700000000000003" customHeight="1">
      <c r="F43" s="148" t="s">
        <v>1066</v>
      </c>
      <c r="G43" s="717" t="s">
        <v>1067</v>
      </c>
      <c r="H43" s="364">
        <f t="shared" si="1"/>
        <v>0</v>
      </c>
      <c r="I43" s="715"/>
      <c r="J43" s="242"/>
      <c r="K43" s="714"/>
      <c r="W43" s="11">
        <v>34</v>
      </c>
    </row>
    <row r="44" spans="6:23" ht="11.55" customHeight="1">
      <c r="F44" s="148" t="s">
        <v>1026</v>
      </c>
      <c r="G44" s="716" t="s">
        <v>1052</v>
      </c>
      <c r="H44" s="364">
        <f t="shared" si="1"/>
        <v>0</v>
      </c>
      <c r="I44" s="364">
        <f>SUM(I45:I46)</f>
        <v>0</v>
      </c>
      <c r="J44" s="242"/>
      <c r="K44" s="714"/>
      <c r="W44" s="11">
        <v>11</v>
      </c>
    </row>
    <row r="45" spans="6:23" ht="48.3" customHeight="1">
      <c r="F45" s="148" t="s">
        <v>1068</v>
      </c>
      <c r="G45" s="717" t="s">
        <v>1053</v>
      </c>
      <c r="H45" s="364">
        <f t="shared" si="1"/>
        <v>0</v>
      </c>
      <c r="I45" s="715"/>
      <c r="J45" s="242"/>
      <c r="K45" s="714"/>
      <c r="W45" s="11">
        <v>46</v>
      </c>
    </row>
    <row r="46" spans="6:23" ht="11.55" customHeight="1">
      <c r="F46" s="148" t="s">
        <v>1069</v>
      </c>
      <c r="G46" s="717" t="s">
        <v>1054</v>
      </c>
      <c r="H46" s="364">
        <f t="shared" si="1"/>
        <v>0</v>
      </c>
      <c r="I46" s="715"/>
      <c r="J46" s="242"/>
      <c r="K46" s="714"/>
      <c r="W46" s="11">
        <v>11</v>
      </c>
    </row>
    <row r="47" spans="6:23" ht="11.5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5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55" customHeight="1">
      <c r="F51" s="148" t="s">
        <v>717</v>
      </c>
      <c r="G51" s="717" t="s">
        <v>1063</v>
      </c>
      <c r="H51" s="364">
        <f t="shared" si="1"/>
        <v>0</v>
      </c>
      <c r="I51" s="715"/>
      <c r="J51" s="242"/>
      <c r="K51" s="714"/>
      <c r="W51" s="11">
        <v>11</v>
      </c>
    </row>
    <row r="52" spans="1:23" ht="11.55" customHeight="1">
      <c r="F52" s="148" t="s">
        <v>1072</v>
      </c>
      <c r="G52" s="717" t="s">
        <v>1065</v>
      </c>
      <c r="H52" s="364">
        <f t="shared" si="1"/>
        <v>0</v>
      </c>
      <c r="I52" s="715"/>
      <c r="J52" s="242"/>
      <c r="K52" s="714"/>
      <c r="W52" s="11">
        <v>11</v>
      </c>
    </row>
    <row r="53" spans="1:23" ht="35.700000000000003" customHeight="1">
      <c r="F53" s="148" t="s">
        <v>1073</v>
      </c>
      <c r="G53" s="717" t="s">
        <v>1067</v>
      </c>
      <c r="H53" s="364">
        <f t="shared" si="1"/>
        <v>0</v>
      </c>
      <c r="I53" s="715"/>
      <c r="J53" s="242"/>
      <c r="K53" s="714"/>
      <c r="W53" s="11">
        <v>34</v>
      </c>
    </row>
    <row r="54" spans="1:23" ht="11.55" customHeight="1">
      <c r="F54" s="148" t="s">
        <v>311</v>
      </c>
      <c r="G54" s="716" t="s">
        <v>1052</v>
      </c>
      <c r="H54" s="364">
        <f t="shared" si="1"/>
        <v>0</v>
      </c>
      <c r="I54" s="364">
        <f>SUM(I55:I56)</f>
        <v>0</v>
      </c>
      <c r="J54" s="242"/>
      <c r="K54" s="714"/>
      <c r="W54" s="11">
        <v>11</v>
      </c>
    </row>
    <row r="55" spans="1:23" ht="48.3" customHeight="1">
      <c r="F55" s="148" t="s">
        <v>721</v>
      </c>
      <c r="G55" s="717" t="s">
        <v>1053</v>
      </c>
      <c r="H55" s="364">
        <f t="shared" si="1"/>
        <v>0</v>
      </c>
      <c r="I55" s="715"/>
      <c r="J55" s="242"/>
      <c r="K55" s="714"/>
      <c r="W55" s="11">
        <v>46</v>
      </c>
    </row>
    <row r="56" spans="1:23" ht="11.55" customHeight="1">
      <c r="F56" s="148" t="s">
        <v>723</v>
      </c>
      <c r="G56" s="717" t="s">
        <v>1054</v>
      </c>
      <c r="H56" s="364">
        <f t="shared" si="1"/>
        <v>0</v>
      </c>
      <c r="I56" s="715"/>
      <c r="J56" s="242"/>
      <c r="K56" s="714"/>
      <c r="W56" s="11">
        <v>11</v>
      </c>
    </row>
    <row r="57" spans="1:23" ht="11.55" customHeight="1">
      <c r="F57" s="148" t="s">
        <v>314</v>
      </c>
      <c r="G57" s="716" t="s">
        <v>1070</v>
      </c>
      <c r="H57" s="364">
        <f t="shared" si="1"/>
        <v>0</v>
      </c>
      <c r="I57" s="715"/>
      <c r="J57" s="242"/>
      <c r="K57" s="714"/>
      <c r="W57" s="11">
        <v>11</v>
      </c>
    </row>
    <row r="58" spans="1:23" ht="11.55" customHeight="1">
      <c r="F58" s="148"/>
      <c r="G58" s="510" t="s">
        <v>1056</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535" hidden="1" customWidth="1"/>
    <col min="2" max="2" width="4.75" style="536" hidden="1" customWidth="1"/>
    <col min="3" max="4" width="4.75" style="535" hidden="1" customWidth="1"/>
    <col min="5" max="5" width="3" style="535" customWidth="1"/>
    <col min="6" max="6" width="6" style="535" customWidth="1"/>
    <col min="7" max="7" width="18" style="535" customWidth="1"/>
    <col min="8" max="8" width="27" style="535" customWidth="1"/>
    <col min="9" max="9" width="18" style="535" customWidth="1"/>
    <col min="10" max="14" width="0.875" style="535" hidden="1" customWidth="1"/>
    <col min="15" max="28" width="21.75" style="535" hidden="1" customWidth="1"/>
    <col min="29" max="71" width="0.875" style="535" hidden="1" customWidth="1"/>
    <col min="72" max="79" width="21.75" style="535" hidden="1" customWidth="1"/>
    <col min="80" max="81" width="29.125" style="535" hidden="1" customWidth="1"/>
    <col min="82" max="89" width="21.75" style="535" hidden="1" customWidth="1"/>
    <col min="90" max="102" width="0.75" style="535" hidden="1" customWidth="1"/>
    <col min="103" max="114" width="21.75" style="535" customWidth="1"/>
    <col min="115" max="128" width="0.75" style="535" customWidth="1"/>
    <col min="129" max="178" width="0.75" style="535" hidden="1" customWidth="1"/>
    <col min="179" max="179" width="0.125" style="535" customWidth="1"/>
    <col min="180" max="184" width="8" style="535" customWidth="1"/>
    <col min="185" max="185" width="9.1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3" customHeight="1">
      <c r="B5" s="1012"/>
      <c r="E5" s="1013"/>
      <c r="F5" s="147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GC5" s="304">
        <v>26</v>
      </c>
    </row>
    <row r="6" spans="2:185" s="55" customFormat="1" ht="18.75" customHeight="1">
      <c r="B6" s="355"/>
      <c r="E6" s="495"/>
      <c r="F6" s="1269" t="str">
        <f>IF(org=0,"Не определено",org)</f>
        <v>АО "Юграавиа"</v>
      </c>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8" t="s">
        <v>1074</v>
      </c>
      <c r="P8" s="1459"/>
      <c r="Q8" s="1459"/>
      <c r="R8" s="1459"/>
      <c r="S8" s="1459"/>
      <c r="T8" s="1459"/>
      <c r="U8" s="1459"/>
      <c r="V8" s="1459"/>
      <c r="W8" s="1459"/>
      <c r="X8" s="1459"/>
      <c r="Y8" s="1459"/>
      <c r="Z8" s="1459"/>
      <c r="AA8" s="1459"/>
      <c r="AB8" s="1459"/>
      <c r="AC8" s="1459"/>
      <c r="AD8" s="1459"/>
      <c r="AE8" s="1459"/>
      <c r="AF8" s="1459"/>
      <c r="AG8" s="1459"/>
      <c r="AH8" s="1459"/>
      <c r="AI8" s="1459"/>
      <c r="AJ8" s="1459"/>
      <c r="AK8" s="1459"/>
      <c r="AL8" s="1459"/>
      <c r="AM8" s="1459"/>
      <c r="AN8" s="1459"/>
      <c r="AO8" s="1459"/>
      <c r="AP8" s="1459"/>
      <c r="AQ8" s="1459"/>
      <c r="AR8" s="1459"/>
      <c r="AS8" s="1459"/>
      <c r="AT8" s="1459"/>
      <c r="AU8" s="1459"/>
      <c r="AV8" s="1459"/>
      <c r="AW8" s="1459"/>
      <c r="AX8" s="1459"/>
      <c r="AY8" s="1459"/>
      <c r="AZ8" s="1459"/>
      <c r="BA8" s="1459"/>
      <c r="BB8" s="1459"/>
      <c r="BC8" s="1459"/>
      <c r="BD8" s="1459"/>
      <c r="BE8" s="1459"/>
      <c r="BF8" s="1459"/>
      <c r="BG8" s="1459"/>
      <c r="BH8" s="1459"/>
      <c r="BI8" s="1459"/>
      <c r="BJ8" s="1459"/>
      <c r="BK8" s="1459"/>
      <c r="BL8" s="1459"/>
      <c r="BM8" s="1459"/>
      <c r="BN8" s="1459"/>
      <c r="BO8" s="1459"/>
      <c r="BP8" s="1459"/>
      <c r="BQ8" s="1459"/>
      <c r="BR8" s="1459"/>
      <c r="BS8" s="1460"/>
      <c r="BT8" s="1461"/>
      <c r="BU8" s="1462"/>
      <c r="BV8" s="1462"/>
      <c r="BW8" s="1462"/>
      <c r="BX8" s="1462"/>
      <c r="BY8" s="1462"/>
      <c r="BZ8" s="1462"/>
      <c r="CA8" s="1462"/>
      <c r="CB8" s="1462"/>
      <c r="CC8" s="1462"/>
      <c r="CD8" s="1462"/>
      <c r="CE8" s="1462"/>
      <c r="CF8" s="1462"/>
      <c r="CG8" s="1462"/>
      <c r="CH8" s="1462"/>
      <c r="CI8" s="1462"/>
      <c r="CJ8" s="1462"/>
      <c r="CK8" s="1462"/>
      <c r="CL8" s="1462"/>
      <c r="CM8" s="1462"/>
      <c r="CN8" s="1462"/>
      <c r="CO8" s="1462"/>
      <c r="CP8" s="1462"/>
      <c r="CQ8" s="1462"/>
      <c r="CR8" s="1462"/>
      <c r="CS8" s="1462"/>
      <c r="CT8" s="1462"/>
      <c r="CU8" s="1462"/>
      <c r="CV8" s="1462"/>
      <c r="CW8" s="1462"/>
      <c r="CX8" s="1463"/>
      <c r="CY8" s="1464"/>
      <c r="CZ8" s="1465"/>
      <c r="DA8" s="1465"/>
      <c r="DB8" s="1465"/>
      <c r="DC8" s="1465"/>
      <c r="DD8" s="1465"/>
      <c r="DE8" s="1465"/>
      <c r="DF8" s="1465"/>
      <c r="DG8" s="1465"/>
      <c r="DH8" s="1465"/>
      <c r="DI8" s="1465"/>
      <c r="DJ8" s="1465"/>
      <c r="DK8" s="1465"/>
      <c r="DL8" s="1465"/>
      <c r="DM8" s="1465"/>
      <c r="DN8" s="1465"/>
      <c r="DO8" s="1465"/>
      <c r="DP8" s="1465"/>
      <c r="DQ8" s="1465"/>
      <c r="DR8" s="1465"/>
      <c r="DS8" s="1465"/>
      <c r="DT8" s="1465"/>
      <c r="DU8" s="1465"/>
      <c r="DV8" s="1465"/>
      <c r="DW8" s="1465"/>
      <c r="DX8" s="1466"/>
      <c r="DY8" s="1452" t="s">
        <v>1075</v>
      </c>
      <c r="DZ8" s="1453"/>
      <c r="EA8" s="1453"/>
      <c r="EB8" s="1453"/>
      <c r="EC8" s="1453"/>
      <c r="ED8" s="1453"/>
      <c r="EE8" s="1453"/>
      <c r="EF8" s="1453"/>
      <c r="EG8" s="1453"/>
      <c r="EH8" s="1453"/>
      <c r="EI8" s="1453"/>
      <c r="EJ8" s="1453"/>
      <c r="EK8" s="1453"/>
      <c r="EL8" s="1453"/>
      <c r="EM8" s="1453"/>
      <c r="EN8" s="1453"/>
      <c r="EO8" s="1453"/>
      <c r="EP8" s="1453"/>
      <c r="EQ8" s="1453"/>
      <c r="ER8" s="1453"/>
      <c r="ES8" s="1453"/>
      <c r="ET8" s="1453"/>
      <c r="EU8" s="1453"/>
      <c r="EV8" s="1453"/>
      <c r="EW8" s="1453"/>
      <c r="EX8" s="1453"/>
      <c r="EY8" s="1453"/>
      <c r="EZ8" s="1453"/>
      <c r="FA8" s="1453"/>
      <c r="FB8" s="1453"/>
      <c r="FC8" s="1453"/>
      <c r="FD8" s="1453"/>
      <c r="FE8" s="1453"/>
      <c r="FF8" s="1453"/>
      <c r="FG8" s="1453"/>
      <c r="FH8" s="1453"/>
      <c r="FI8" s="1453"/>
      <c r="FJ8" s="1453"/>
      <c r="FK8" s="1453"/>
      <c r="FL8" s="1453"/>
      <c r="FM8" s="1453"/>
      <c r="FN8" s="1453"/>
      <c r="FO8" s="1453"/>
      <c r="FP8" s="1453"/>
      <c r="FQ8" s="1453"/>
      <c r="FR8" s="1453"/>
      <c r="FS8" s="1453"/>
      <c r="FT8" s="1453"/>
      <c r="FU8" s="1453"/>
      <c r="FV8" s="1453"/>
      <c r="FW8" s="1454"/>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55"/>
      <c r="FX9" s="55"/>
      <c r="GC9" s="537">
        <v>0</v>
      </c>
    </row>
    <row r="10" spans="2:185" s="537" customFormat="1" ht="11.55" customHeight="1">
      <c r="B10" s="538"/>
      <c r="F10" s="1432" t="s">
        <v>304</v>
      </c>
      <c r="G10" s="1468"/>
      <c r="H10" s="1468"/>
      <c r="I10" s="1468"/>
      <c r="J10" s="1468"/>
      <c r="K10" s="1468"/>
      <c r="L10" s="1468"/>
      <c r="M10" s="1468"/>
      <c r="N10" s="1468"/>
      <c r="O10" s="1468"/>
      <c r="P10" s="1468"/>
      <c r="Q10" s="1468"/>
      <c r="R10" s="1468"/>
      <c r="S10" s="1468"/>
      <c r="T10" s="1468"/>
      <c r="U10" s="1468"/>
      <c r="V10" s="1468"/>
      <c r="W10" s="1468"/>
      <c r="X10" s="1468"/>
      <c r="Y10" s="1468"/>
      <c r="Z10" s="1468"/>
      <c r="AA10" s="1468"/>
      <c r="AB10" s="1468"/>
      <c r="AC10" s="1468"/>
      <c r="AD10" s="1468"/>
      <c r="AE10" s="1468"/>
      <c r="AF10" s="1468"/>
      <c r="AG10" s="1468"/>
      <c r="AH10" s="1468"/>
      <c r="AI10" s="1468"/>
      <c r="AJ10" s="1468"/>
      <c r="AK10" s="1468"/>
      <c r="AL10" s="1468"/>
      <c r="AM10" s="1468"/>
      <c r="AN10" s="1468"/>
      <c r="AO10" s="1468"/>
      <c r="AP10" s="1468"/>
      <c r="AQ10" s="1468"/>
      <c r="AR10" s="1468"/>
      <c r="AS10" s="1468"/>
      <c r="AT10" s="1468"/>
      <c r="AU10" s="1468"/>
      <c r="AV10" s="1468"/>
      <c r="AW10" s="1468"/>
      <c r="AX10" s="1468"/>
      <c r="AY10" s="1468"/>
      <c r="AZ10" s="1468"/>
      <c r="BA10" s="1468"/>
      <c r="BB10" s="1468"/>
      <c r="BC10" s="1468"/>
      <c r="BD10" s="1468"/>
      <c r="BE10" s="1468"/>
      <c r="BF10" s="1468"/>
      <c r="BG10" s="1468"/>
      <c r="BH10" s="1468"/>
      <c r="BI10" s="1468"/>
      <c r="BJ10" s="1468"/>
      <c r="BK10" s="1468"/>
      <c r="BL10" s="1468"/>
      <c r="BM10" s="1468"/>
      <c r="BN10" s="1468"/>
      <c r="BO10" s="1468"/>
      <c r="BP10" s="1468"/>
      <c r="BQ10" s="1468"/>
      <c r="BR10" s="1468"/>
      <c r="BS10" s="1468"/>
      <c r="BT10" s="1468"/>
      <c r="BU10" s="1468"/>
      <c r="BV10" s="1468"/>
      <c r="BW10" s="1468"/>
      <c r="BX10" s="1468"/>
      <c r="BY10" s="1468"/>
      <c r="BZ10" s="1468"/>
      <c r="CA10" s="1468"/>
      <c r="CB10" s="1468"/>
      <c r="CC10" s="1468"/>
      <c r="CD10" s="1468"/>
      <c r="CE10" s="1468"/>
      <c r="CF10" s="1468"/>
      <c r="CG10" s="1468"/>
      <c r="CH10" s="1468"/>
      <c r="CI10" s="1468"/>
      <c r="CJ10" s="1468"/>
      <c r="CK10" s="1468"/>
      <c r="CL10" s="1468"/>
      <c r="CM10" s="1468"/>
      <c r="CN10" s="1468"/>
      <c r="CO10" s="1468"/>
      <c r="CP10" s="1468"/>
      <c r="CQ10" s="1468"/>
      <c r="CR10" s="1468"/>
      <c r="CS10" s="1468"/>
      <c r="CT10" s="1468"/>
      <c r="CU10" s="1468"/>
      <c r="CV10" s="1468"/>
      <c r="CW10" s="1468"/>
      <c r="CX10" s="1468"/>
      <c r="CY10" s="1468"/>
      <c r="CZ10" s="1468"/>
      <c r="DA10" s="1468"/>
      <c r="DB10" s="1468"/>
      <c r="DC10" s="1468"/>
      <c r="DD10" s="1468"/>
      <c r="DE10" s="1468"/>
      <c r="DF10" s="1468"/>
      <c r="DG10" s="1468"/>
      <c r="DH10" s="1468"/>
      <c r="DI10" s="1468"/>
      <c r="DJ10" s="1468"/>
      <c r="DK10" s="1468"/>
      <c r="DL10" s="1468"/>
      <c r="DM10" s="1468"/>
      <c r="DN10" s="1468"/>
      <c r="DO10" s="1468"/>
      <c r="DP10" s="1468"/>
      <c r="DQ10" s="1468"/>
      <c r="DR10" s="1468"/>
      <c r="DS10" s="1468"/>
      <c r="DT10" s="1468"/>
      <c r="DU10" s="1468"/>
      <c r="DV10" s="1468"/>
      <c r="DW10" s="1468"/>
      <c r="DX10" s="1468"/>
      <c r="DY10" s="1468"/>
      <c r="DZ10" s="1468"/>
      <c r="EA10" s="1468"/>
      <c r="EB10" s="1468"/>
      <c r="EC10" s="1468"/>
      <c r="ED10" s="1468"/>
      <c r="EE10" s="1468"/>
      <c r="EF10" s="1468"/>
      <c r="EG10" s="1468"/>
      <c r="EH10" s="1468"/>
      <c r="EI10" s="1468"/>
      <c r="EJ10" s="1468"/>
      <c r="EK10" s="1468"/>
      <c r="EL10" s="1468"/>
      <c r="EM10" s="1468"/>
      <c r="EN10" s="1468"/>
      <c r="EO10" s="1468"/>
      <c r="EP10" s="1468"/>
      <c r="EQ10" s="1468"/>
      <c r="ER10" s="1468"/>
      <c r="ES10" s="1468"/>
      <c r="ET10" s="1468"/>
      <c r="EU10" s="1468"/>
      <c r="EV10" s="1468"/>
      <c r="EW10" s="1468"/>
      <c r="EX10" s="1468"/>
      <c r="EY10" s="1468"/>
      <c r="EZ10" s="1468"/>
      <c r="FA10" s="1468"/>
      <c r="FB10" s="1468"/>
      <c r="FC10" s="1468"/>
      <c r="FD10" s="1468"/>
      <c r="FE10" s="1468"/>
      <c r="FF10" s="1468"/>
      <c r="FG10" s="1468"/>
      <c r="FH10" s="1468"/>
      <c r="FI10" s="1468"/>
      <c r="FJ10" s="1468"/>
      <c r="FK10" s="1468"/>
      <c r="FL10" s="1468"/>
      <c r="FM10" s="1468"/>
      <c r="FN10" s="1468"/>
      <c r="FO10" s="1468"/>
      <c r="FP10" s="1468"/>
      <c r="FQ10" s="1468"/>
      <c r="FR10" s="1468"/>
      <c r="FS10" s="1468"/>
      <c r="FT10" s="1468"/>
      <c r="FU10" s="1468"/>
      <c r="FV10" s="1469"/>
      <c r="FW10" s="1455"/>
      <c r="FX10" s="55"/>
      <c r="GC10" s="537">
        <v>11</v>
      </c>
    </row>
    <row r="11" spans="2:185" ht="12.75" customHeight="1">
      <c r="E11" s="540"/>
      <c r="F11" s="1251" t="s">
        <v>89</v>
      </c>
      <c r="G11" s="1251" t="s">
        <v>1076</v>
      </c>
      <c r="H11" s="1251" t="s">
        <v>1077</v>
      </c>
      <c r="I11" s="1251" t="s">
        <v>1078</v>
      </c>
      <c r="J11" s="1467"/>
      <c r="K11" s="1467"/>
      <c r="L11" s="1467"/>
      <c r="M11" s="1467"/>
      <c r="N11" s="1467"/>
      <c r="O11" s="1255" t="s">
        <v>1079</v>
      </c>
      <c r="P11" s="1255"/>
      <c r="Q11" s="1255"/>
      <c r="R11" s="1255"/>
      <c r="S11" s="1255"/>
      <c r="T11" s="1255"/>
      <c r="U11" s="1255"/>
      <c r="V11" s="1255"/>
      <c r="W11" s="1255"/>
      <c r="X11" s="1255"/>
      <c r="Y11" s="1255"/>
      <c r="Z11" s="1255"/>
      <c r="AA11" s="1255"/>
      <c r="AB11" s="1255"/>
      <c r="AC11" s="1450"/>
      <c r="AD11" s="1450"/>
      <c r="AE11" s="1450"/>
      <c r="AF11" s="1450"/>
      <c r="AG11" s="1450"/>
      <c r="AH11" s="1450"/>
      <c r="AI11" s="1450"/>
      <c r="AJ11" s="1450"/>
      <c r="AK11" s="1450"/>
      <c r="AL11" s="1450"/>
      <c r="AM11" s="1450"/>
      <c r="AN11" s="1450"/>
      <c r="AO11" s="1450"/>
      <c r="AP11" s="1450"/>
      <c r="AQ11" s="1450"/>
      <c r="AR11" s="1450"/>
      <c r="AS11" s="1450"/>
      <c r="AT11" s="1450"/>
      <c r="AU11" s="1450"/>
      <c r="AV11" s="1450"/>
      <c r="AW11" s="1450"/>
      <c r="AX11" s="1450"/>
      <c r="AY11" s="1450"/>
      <c r="AZ11" s="1450"/>
      <c r="BA11" s="1450"/>
      <c r="BB11" s="1450"/>
      <c r="BC11" s="1450"/>
      <c r="BD11" s="1450"/>
      <c r="BE11" s="1450"/>
      <c r="BF11" s="1450"/>
      <c r="BG11" s="1450"/>
      <c r="BH11" s="1450"/>
      <c r="BI11" s="1450"/>
      <c r="BJ11" s="1450"/>
      <c r="BK11" s="1450"/>
      <c r="BL11" s="1450"/>
      <c r="BM11" s="1450"/>
      <c r="BN11" s="1450"/>
      <c r="BO11" s="1450"/>
      <c r="BP11" s="1450"/>
      <c r="BQ11" s="1450"/>
      <c r="BR11" s="1450"/>
      <c r="BS11" s="1451"/>
      <c r="BT11" s="1418" t="s">
        <v>1079</v>
      </c>
      <c r="BU11" s="1419"/>
      <c r="BV11" s="1419"/>
      <c r="BW11" s="1419"/>
      <c r="BX11" s="1419"/>
      <c r="BY11" s="1419"/>
      <c r="BZ11" s="1419"/>
      <c r="CA11" s="1419"/>
      <c r="CB11" s="1419"/>
      <c r="CC11" s="1419"/>
      <c r="CD11" s="1419"/>
      <c r="CE11" s="1419"/>
      <c r="CF11" s="1419"/>
      <c r="CG11" s="1419"/>
      <c r="CH11" s="1419"/>
      <c r="CI11" s="1419"/>
      <c r="CJ11" s="1419"/>
      <c r="CK11" s="1449"/>
      <c r="CL11" s="1457"/>
      <c r="CM11" s="1450"/>
      <c r="CN11" s="1450"/>
      <c r="CO11" s="1450"/>
      <c r="CP11" s="1450"/>
      <c r="CQ11" s="1450"/>
      <c r="CR11" s="1450"/>
      <c r="CS11" s="1450"/>
      <c r="CT11" s="1450"/>
      <c r="CU11" s="1450"/>
      <c r="CV11" s="1450"/>
      <c r="CW11" s="1450"/>
      <c r="CX11" s="1451"/>
      <c r="CY11" s="1418" t="s">
        <v>1079</v>
      </c>
      <c r="CZ11" s="1419"/>
      <c r="DA11" s="1419"/>
      <c r="DB11" s="1419"/>
      <c r="DC11" s="1419"/>
      <c r="DD11" s="1419"/>
      <c r="DE11" s="1419"/>
      <c r="DF11" s="1419"/>
      <c r="DG11" s="1419"/>
      <c r="DH11" s="1419"/>
      <c r="DI11" s="1419"/>
      <c r="DJ11" s="1449"/>
      <c r="DK11" s="1457"/>
      <c r="DL11" s="1450"/>
      <c r="DM11" s="1450"/>
      <c r="DN11" s="1450"/>
      <c r="DO11" s="1450"/>
      <c r="DP11" s="1450"/>
      <c r="DQ11" s="1450"/>
      <c r="DR11" s="1450"/>
      <c r="DS11" s="1450"/>
      <c r="DT11" s="1450"/>
      <c r="DU11" s="1450"/>
      <c r="DV11" s="1450"/>
      <c r="DW11" s="1450"/>
      <c r="DX11" s="1450"/>
      <c r="DY11" s="1450"/>
      <c r="DZ11" s="1450"/>
      <c r="EA11" s="1450"/>
      <c r="EB11" s="1450"/>
      <c r="EC11" s="1450"/>
      <c r="ED11" s="1450"/>
      <c r="EE11" s="1450"/>
      <c r="EF11" s="1450"/>
      <c r="EG11" s="1450"/>
      <c r="EH11" s="1450"/>
      <c r="EI11" s="1450"/>
      <c r="EJ11" s="1450"/>
      <c r="EK11" s="1450"/>
      <c r="EL11" s="1450"/>
      <c r="EM11" s="1450"/>
      <c r="EN11" s="1450"/>
      <c r="EO11" s="1450"/>
      <c r="EP11" s="1450"/>
      <c r="EQ11" s="1450"/>
      <c r="ER11" s="1450"/>
      <c r="ES11" s="1450"/>
      <c r="ET11" s="1450"/>
      <c r="EU11" s="1450"/>
      <c r="EV11" s="1450"/>
      <c r="EW11" s="1450"/>
      <c r="EX11" s="1450"/>
      <c r="EY11" s="1450"/>
      <c r="EZ11" s="1450"/>
      <c r="FA11" s="1450"/>
      <c r="FB11" s="1450"/>
      <c r="FC11" s="1450"/>
      <c r="FD11" s="1450"/>
      <c r="FE11" s="1450"/>
      <c r="FF11" s="1450"/>
      <c r="FG11" s="1450"/>
      <c r="FH11" s="1450"/>
      <c r="FI11" s="1450"/>
      <c r="FJ11" s="1450"/>
      <c r="FK11" s="1450"/>
      <c r="FL11" s="1450"/>
      <c r="FM11" s="1450"/>
      <c r="FN11" s="1450"/>
      <c r="FO11" s="1450"/>
      <c r="FP11" s="1450"/>
      <c r="FQ11" s="1450"/>
      <c r="FR11" s="1450"/>
      <c r="FS11" s="1450"/>
      <c r="FT11" s="1450"/>
      <c r="FU11" s="1450"/>
      <c r="FV11" s="1450"/>
      <c r="FW11" s="1455"/>
      <c r="FX11" s="33"/>
      <c r="GC11" s="535">
        <v>12</v>
      </c>
    </row>
    <row r="12" spans="2:185" ht="12.75" customHeight="1">
      <c r="D12" s="57"/>
      <c r="E12" s="540"/>
      <c r="F12" s="1251"/>
      <c r="G12" s="1251"/>
      <c r="H12" s="1251"/>
      <c r="I12" s="1251"/>
      <c r="J12" s="1467"/>
      <c r="K12" s="1467"/>
      <c r="L12" s="1467"/>
      <c r="M12" s="1467"/>
      <c r="N12" s="1467"/>
      <c r="O12" s="1255" t="s">
        <v>1080</v>
      </c>
      <c r="P12" s="1255"/>
      <c r="Q12" s="1255"/>
      <c r="R12" s="1255"/>
      <c r="S12" s="1255" t="s">
        <v>1081</v>
      </c>
      <c r="T12" s="1255"/>
      <c r="U12" s="1255"/>
      <c r="V12" s="1255"/>
      <c r="W12" s="1255"/>
      <c r="X12" s="1255"/>
      <c r="Y12" s="1255"/>
      <c r="Z12" s="1255"/>
      <c r="AA12" s="1255"/>
      <c r="AB12" s="1255"/>
      <c r="AC12" s="1450"/>
      <c r="AD12" s="1450"/>
      <c r="AE12" s="1450"/>
      <c r="AF12" s="1450"/>
      <c r="AG12" s="1450"/>
      <c r="AH12" s="1450"/>
      <c r="AI12" s="1450"/>
      <c r="AJ12" s="1450"/>
      <c r="AK12" s="1450"/>
      <c r="AL12" s="1450"/>
      <c r="AM12" s="1450"/>
      <c r="AN12" s="1450"/>
      <c r="AO12" s="1450"/>
      <c r="AP12" s="1450"/>
      <c r="AQ12" s="1450"/>
      <c r="AR12" s="1450"/>
      <c r="AS12" s="1450"/>
      <c r="AT12" s="1450"/>
      <c r="AU12" s="1450"/>
      <c r="AV12" s="1450"/>
      <c r="AW12" s="1450"/>
      <c r="AX12" s="1450"/>
      <c r="AY12" s="1450"/>
      <c r="AZ12" s="1450"/>
      <c r="BA12" s="1450"/>
      <c r="BB12" s="1450"/>
      <c r="BC12" s="1450"/>
      <c r="BD12" s="1450"/>
      <c r="BE12" s="1450"/>
      <c r="BF12" s="1450"/>
      <c r="BG12" s="1450"/>
      <c r="BH12" s="1450"/>
      <c r="BI12" s="1450"/>
      <c r="BJ12" s="1450"/>
      <c r="BK12" s="1450"/>
      <c r="BL12" s="1450"/>
      <c r="BM12" s="1450"/>
      <c r="BN12" s="1450"/>
      <c r="BO12" s="1450"/>
      <c r="BP12" s="1450"/>
      <c r="BQ12" s="1450"/>
      <c r="BR12" s="1450"/>
      <c r="BS12" s="1451"/>
      <c r="BT12" s="1418" t="s">
        <v>1082</v>
      </c>
      <c r="BU12" s="1419"/>
      <c r="BV12" s="1419"/>
      <c r="BW12" s="1449"/>
      <c r="BX12" s="1418" t="s">
        <v>1083</v>
      </c>
      <c r="BY12" s="1419"/>
      <c r="BZ12" s="1419"/>
      <c r="CA12" s="1449"/>
      <c r="CB12" s="1418" t="s">
        <v>1084</v>
      </c>
      <c r="CC12" s="1449"/>
      <c r="CD12" s="1418" t="s">
        <v>1085</v>
      </c>
      <c r="CE12" s="1419"/>
      <c r="CF12" s="1419"/>
      <c r="CG12" s="1419"/>
      <c r="CH12" s="1419"/>
      <c r="CI12" s="1419"/>
      <c r="CJ12" s="1419"/>
      <c r="CK12" s="1449"/>
      <c r="CL12" s="1457"/>
      <c r="CM12" s="1450"/>
      <c r="CN12" s="1450"/>
      <c r="CO12" s="1450"/>
      <c r="CP12" s="1450"/>
      <c r="CQ12" s="1450"/>
      <c r="CR12" s="1450"/>
      <c r="CS12" s="1450"/>
      <c r="CT12" s="1450"/>
      <c r="CU12" s="1450"/>
      <c r="CV12" s="1450"/>
      <c r="CW12" s="1450"/>
      <c r="CX12" s="1451"/>
      <c r="CY12" s="1418" t="s">
        <v>1086</v>
      </c>
      <c r="CZ12" s="1419"/>
      <c r="DA12" s="1419"/>
      <c r="DB12" s="1419"/>
      <c r="DC12" s="1419"/>
      <c r="DD12" s="1449"/>
      <c r="DE12" s="1418" t="s">
        <v>1087</v>
      </c>
      <c r="DF12" s="1449"/>
      <c r="DG12" s="1418" t="s">
        <v>1085</v>
      </c>
      <c r="DH12" s="1419"/>
      <c r="DI12" s="1419"/>
      <c r="DJ12" s="1449"/>
      <c r="DK12" s="1457"/>
      <c r="DL12" s="1450"/>
      <c r="DM12" s="1450"/>
      <c r="DN12" s="1450"/>
      <c r="DO12" s="1450"/>
      <c r="DP12" s="1450"/>
      <c r="DQ12" s="1450"/>
      <c r="DR12" s="1450"/>
      <c r="DS12" s="1450"/>
      <c r="DT12" s="1450"/>
      <c r="DU12" s="1450"/>
      <c r="DV12" s="1450"/>
      <c r="DW12" s="1450"/>
      <c r="DX12" s="1450"/>
      <c r="DY12" s="1450"/>
      <c r="DZ12" s="1450"/>
      <c r="EA12" s="1450"/>
      <c r="EB12" s="1450"/>
      <c r="EC12" s="1450"/>
      <c r="ED12" s="1450"/>
      <c r="EE12" s="1450"/>
      <c r="EF12" s="1450"/>
      <c r="EG12" s="1450"/>
      <c r="EH12" s="1450"/>
      <c r="EI12" s="1450"/>
      <c r="EJ12" s="1450"/>
      <c r="EK12" s="1450"/>
      <c r="EL12" s="1450"/>
      <c r="EM12" s="1450"/>
      <c r="EN12" s="1450"/>
      <c r="EO12" s="1450"/>
      <c r="EP12" s="1450"/>
      <c r="EQ12" s="1450"/>
      <c r="ER12" s="1450"/>
      <c r="ES12" s="1450"/>
      <c r="ET12" s="1450"/>
      <c r="EU12" s="1450"/>
      <c r="EV12" s="1450"/>
      <c r="EW12" s="1450"/>
      <c r="EX12" s="1450"/>
      <c r="EY12" s="1450"/>
      <c r="EZ12" s="1450"/>
      <c r="FA12" s="1450"/>
      <c r="FB12" s="1450"/>
      <c r="FC12" s="1450"/>
      <c r="FD12" s="1450"/>
      <c r="FE12" s="1450"/>
      <c r="FF12" s="1450"/>
      <c r="FG12" s="1450"/>
      <c r="FH12" s="1450"/>
      <c r="FI12" s="1450"/>
      <c r="FJ12" s="1450"/>
      <c r="FK12" s="1450"/>
      <c r="FL12" s="1450"/>
      <c r="FM12" s="1450"/>
      <c r="FN12" s="1450"/>
      <c r="FO12" s="1450"/>
      <c r="FP12" s="1450"/>
      <c r="FQ12" s="1450"/>
      <c r="FR12" s="1450"/>
      <c r="FS12" s="1450"/>
      <c r="FT12" s="1450"/>
      <c r="FU12" s="1450"/>
      <c r="FV12" s="1450"/>
      <c r="FW12" s="1455"/>
      <c r="FX12" s="33"/>
      <c r="GC12" s="535">
        <v>12</v>
      </c>
    </row>
    <row r="13" spans="2:185" ht="37.799999999999997" customHeight="1">
      <c r="D13" s="57"/>
      <c r="E13" s="540"/>
      <c r="F13" s="1251"/>
      <c r="G13" s="1251"/>
      <c r="H13" s="1251"/>
      <c r="I13" s="1251"/>
      <c r="J13" s="1467"/>
      <c r="K13" s="1467"/>
      <c r="L13" s="1467"/>
      <c r="M13" s="1467"/>
      <c r="N13" s="1467"/>
      <c r="O13" s="1255" t="s">
        <v>1088</v>
      </c>
      <c r="P13" s="1255"/>
      <c r="Q13" s="1255"/>
      <c r="R13" s="1255"/>
      <c r="S13" s="1356" t="s">
        <v>1089</v>
      </c>
      <c r="T13" s="1420"/>
      <c r="U13" s="1158" t="s">
        <v>1090</v>
      </c>
      <c r="V13" s="1158"/>
      <c r="W13" s="1158"/>
      <c r="X13" s="1158"/>
      <c r="Y13" s="1158" t="s">
        <v>1091</v>
      </c>
      <c r="Z13" s="1158"/>
      <c r="AA13" s="1158"/>
      <c r="AB13" s="1158"/>
      <c r="AC13" s="1450"/>
      <c r="AD13" s="1450"/>
      <c r="AE13" s="1450"/>
      <c r="AF13" s="1450"/>
      <c r="AG13" s="1450"/>
      <c r="AH13" s="1450"/>
      <c r="AI13" s="1450"/>
      <c r="AJ13" s="1450"/>
      <c r="AK13" s="1450"/>
      <c r="AL13" s="1450"/>
      <c r="AM13" s="1450"/>
      <c r="AN13" s="1450"/>
      <c r="AO13" s="1450"/>
      <c r="AP13" s="1450"/>
      <c r="AQ13" s="1450"/>
      <c r="AR13" s="1450"/>
      <c r="AS13" s="1450"/>
      <c r="AT13" s="1450"/>
      <c r="AU13" s="1450"/>
      <c r="AV13" s="1450"/>
      <c r="AW13" s="1450"/>
      <c r="AX13" s="1450"/>
      <c r="AY13" s="1450"/>
      <c r="AZ13" s="1450"/>
      <c r="BA13" s="1450"/>
      <c r="BB13" s="1450"/>
      <c r="BC13" s="1450"/>
      <c r="BD13" s="1450"/>
      <c r="BE13" s="1450"/>
      <c r="BF13" s="1450"/>
      <c r="BG13" s="1450"/>
      <c r="BH13" s="1450"/>
      <c r="BI13" s="1450"/>
      <c r="BJ13" s="1450"/>
      <c r="BK13" s="1450"/>
      <c r="BL13" s="1450"/>
      <c r="BM13" s="1450"/>
      <c r="BN13" s="1450"/>
      <c r="BO13" s="1450"/>
      <c r="BP13" s="1450"/>
      <c r="BQ13" s="1450"/>
      <c r="BR13" s="1450"/>
      <c r="BS13" s="1451"/>
      <c r="BT13" s="1356" t="s">
        <v>1092</v>
      </c>
      <c r="BU13" s="1420"/>
      <c r="BV13" s="1356" t="s">
        <v>1093</v>
      </c>
      <c r="BW13" s="1420"/>
      <c r="BX13" s="1356" t="s">
        <v>1094</v>
      </c>
      <c r="BY13" s="1420"/>
      <c r="BZ13" s="1356" t="s">
        <v>1095</v>
      </c>
      <c r="CA13" s="1420"/>
      <c r="CB13" s="1356" t="s">
        <v>1096</v>
      </c>
      <c r="CC13" s="1420"/>
      <c r="CD13" s="1356" t="s">
        <v>1097</v>
      </c>
      <c r="CE13" s="1420"/>
      <c r="CF13" s="1356" t="s">
        <v>1098</v>
      </c>
      <c r="CG13" s="1420"/>
      <c r="CH13" s="1418" t="s">
        <v>1099</v>
      </c>
      <c r="CI13" s="1419"/>
      <c r="CJ13" s="1419"/>
      <c r="CK13" s="1449"/>
      <c r="CL13" s="1457"/>
      <c r="CM13" s="1450"/>
      <c r="CN13" s="1450"/>
      <c r="CO13" s="1450"/>
      <c r="CP13" s="1450"/>
      <c r="CQ13" s="1450"/>
      <c r="CR13" s="1450"/>
      <c r="CS13" s="1450"/>
      <c r="CT13" s="1450"/>
      <c r="CU13" s="1450"/>
      <c r="CV13" s="1450"/>
      <c r="CW13" s="1450"/>
      <c r="CX13" s="1451"/>
      <c r="CY13" s="1356" t="s">
        <v>1100</v>
      </c>
      <c r="CZ13" s="1420"/>
      <c r="DA13" s="1356" t="s">
        <v>1101</v>
      </c>
      <c r="DB13" s="1420"/>
      <c r="DC13" s="1356" t="s">
        <v>1102</v>
      </c>
      <c r="DD13" s="1420"/>
      <c r="DE13" s="1356" t="s">
        <v>1103</v>
      </c>
      <c r="DF13" s="1420"/>
      <c r="DG13" s="1418" t="s">
        <v>1104</v>
      </c>
      <c r="DH13" s="1419"/>
      <c r="DI13" s="1419"/>
      <c r="DJ13" s="1449"/>
      <c r="DK13" s="1457"/>
      <c r="DL13" s="1450"/>
      <c r="DM13" s="1450"/>
      <c r="DN13" s="1450"/>
      <c r="DO13" s="1450"/>
      <c r="DP13" s="1450"/>
      <c r="DQ13" s="1450"/>
      <c r="DR13" s="1450"/>
      <c r="DS13" s="1450"/>
      <c r="DT13" s="1450"/>
      <c r="DU13" s="1450"/>
      <c r="DV13" s="1450"/>
      <c r="DW13" s="1450"/>
      <c r="DX13" s="1450"/>
      <c r="DY13" s="1450"/>
      <c r="DZ13" s="1450"/>
      <c r="EA13" s="1450"/>
      <c r="EB13" s="1450"/>
      <c r="EC13" s="1450"/>
      <c r="ED13" s="1450"/>
      <c r="EE13" s="1450"/>
      <c r="EF13" s="1450"/>
      <c r="EG13" s="1450"/>
      <c r="EH13" s="1450"/>
      <c r="EI13" s="1450"/>
      <c r="EJ13" s="1450"/>
      <c r="EK13" s="1450"/>
      <c r="EL13" s="1450"/>
      <c r="EM13" s="1450"/>
      <c r="EN13" s="1450"/>
      <c r="EO13" s="1450"/>
      <c r="EP13" s="1450"/>
      <c r="EQ13" s="1450"/>
      <c r="ER13" s="1450"/>
      <c r="ES13" s="1450"/>
      <c r="ET13" s="1450"/>
      <c r="EU13" s="1450"/>
      <c r="EV13" s="1450"/>
      <c r="EW13" s="1450"/>
      <c r="EX13" s="1450"/>
      <c r="EY13" s="1450"/>
      <c r="EZ13" s="1450"/>
      <c r="FA13" s="1450"/>
      <c r="FB13" s="1450"/>
      <c r="FC13" s="1450"/>
      <c r="FD13" s="1450"/>
      <c r="FE13" s="1450"/>
      <c r="FF13" s="1450"/>
      <c r="FG13" s="1450"/>
      <c r="FH13" s="1450"/>
      <c r="FI13" s="1450"/>
      <c r="FJ13" s="1450"/>
      <c r="FK13" s="1450"/>
      <c r="FL13" s="1450"/>
      <c r="FM13" s="1450"/>
      <c r="FN13" s="1450"/>
      <c r="FO13" s="1450"/>
      <c r="FP13" s="1450"/>
      <c r="FQ13" s="1450"/>
      <c r="FR13" s="1450"/>
      <c r="FS13" s="1450"/>
      <c r="FT13" s="1450"/>
      <c r="FU13" s="1450"/>
      <c r="FV13" s="1450"/>
      <c r="FW13" s="1455"/>
      <c r="FX13" s="33"/>
      <c r="GC13" s="535">
        <v>36</v>
      </c>
    </row>
    <row r="14" spans="2:185" ht="37.799999999999997" customHeight="1">
      <c r="D14" s="57"/>
      <c r="E14" s="540"/>
      <c r="F14" s="1251"/>
      <c r="G14" s="1251"/>
      <c r="H14" s="1251"/>
      <c r="I14" s="1251"/>
      <c r="J14" s="1467"/>
      <c r="K14" s="1467"/>
      <c r="L14" s="1467"/>
      <c r="M14" s="1467"/>
      <c r="N14" s="1467"/>
      <c r="O14" s="1356" t="s">
        <v>1105</v>
      </c>
      <c r="P14" s="1420"/>
      <c r="Q14" s="1356" t="s">
        <v>1106</v>
      </c>
      <c r="R14" s="1420"/>
      <c r="S14" s="1357"/>
      <c r="T14" s="1259"/>
      <c r="U14" s="1356" t="s">
        <v>838</v>
      </c>
      <c r="V14" s="1420"/>
      <c r="W14" s="1356" t="s">
        <v>841</v>
      </c>
      <c r="X14" s="1420"/>
      <c r="Y14" s="1356" t="s">
        <v>838</v>
      </c>
      <c r="Z14" s="1420"/>
      <c r="AA14" s="1356" t="s">
        <v>848</v>
      </c>
      <c r="AB14" s="1420"/>
      <c r="AC14" s="1450"/>
      <c r="AD14" s="1450"/>
      <c r="AE14" s="1450"/>
      <c r="AF14" s="1450"/>
      <c r="AG14" s="1450"/>
      <c r="AH14" s="1450"/>
      <c r="AI14" s="1450"/>
      <c r="AJ14" s="1450"/>
      <c r="AK14" s="1450"/>
      <c r="AL14" s="1450"/>
      <c r="AM14" s="1450"/>
      <c r="AN14" s="1450"/>
      <c r="AO14" s="1450"/>
      <c r="AP14" s="1450"/>
      <c r="AQ14" s="1450"/>
      <c r="AR14" s="1450"/>
      <c r="AS14" s="1450"/>
      <c r="AT14" s="1450"/>
      <c r="AU14" s="1450"/>
      <c r="AV14" s="1450"/>
      <c r="AW14" s="1450"/>
      <c r="AX14" s="1450"/>
      <c r="AY14" s="1450"/>
      <c r="AZ14" s="1450"/>
      <c r="BA14" s="1450"/>
      <c r="BB14" s="1450"/>
      <c r="BC14" s="1450"/>
      <c r="BD14" s="1450"/>
      <c r="BE14" s="1450"/>
      <c r="BF14" s="1450"/>
      <c r="BG14" s="1450"/>
      <c r="BH14" s="1450"/>
      <c r="BI14" s="1450"/>
      <c r="BJ14" s="1450"/>
      <c r="BK14" s="1450"/>
      <c r="BL14" s="1450"/>
      <c r="BM14" s="1450"/>
      <c r="BN14" s="1450"/>
      <c r="BO14" s="1450"/>
      <c r="BP14" s="1450"/>
      <c r="BQ14" s="1450"/>
      <c r="BR14" s="1450"/>
      <c r="BS14" s="1451"/>
      <c r="BT14" s="1357"/>
      <c r="BU14" s="1259"/>
      <c r="BV14" s="1357"/>
      <c r="BW14" s="1259"/>
      <c r="BX14" s="1357"/>
      <c r="BY14" s="1259"/>
      <c r="BZ14" s="1357"/>
      <c r="CA14" s="1259"/>
      <c r="CB14" s="1357"/>
      <c r="CC14" s="1259"/>
      <c r="CD14" s="1357"/>
      <c r="CE14" s="1259"/>
      <c r="CF14" s="1357"/>
      <c r="CG14" s="1259"/>
      <c r="CH14" s="1356" t="s">
        <v>1107</v>
      </c>
      <c r="CI14" s="1420"/>
      <c r="CJ14" s="1356" t="s">
        <v>1108</v>
      </c>
      <c r="CK14" s="1420"/>
      <c r="CL14" s="1457"/>
      <c r="CM14" s="1450"/>
      <c r="CN14" s="1450"/>
      <c r="CO14" s="1450"/>
      <c r="CP14" s="1450"/>
      <c r="CQ14" s="1450"/>
      <c r="CR14" s="1450"/>
      <c r="CS14" s="1450"/>
      <c r="CT14" s="1450"/>
      <c r="CU14" s="1450"/>
      <c r="CV14" s="1450"/>
      <c r="CW14" s="1450"/>
      <c r="CX14" s="1451"/>
      <c r="CY14" s="1357"/>
      <c r="CZ14" s="1259"/>
      <c r="DA14" s="1357"/>
      <c r="DB14" s="1259"/>
      <c r="DC14" s="1357"/>
      <c r="DD14" s="1259"/>
      <c r="DE14" s="1357"/>
      <c r="DF14" s="1259"/>
      <c r="DG14" s="1356" t="s">
        <v>1109</v>
      </c>
      <c r="DH14" s="1420"/>
      <c r="DI14" s="1356" t="s">
        <v>1110</v>
      </c>
      <c r="DJ14" s="1420"/>
      <c r="DK14" s="1457"/>
      <c r="DL14" s="1450"/>
      <c r="DM14" s="1450"/>
      <c r="DN14" s="1450"/>
      <c r="DO14" s="1450"/>
      <c r="DP14" s="1450"/>
      <c r="DQ14" s="1450"/>
      <c r="DR14" s="1450"/>
      <c r="DS14" s="1450"/>
      <c r="DT14" s="1450"/>
      <c r="DU14" s="1450"/>
      <c r="DV14" s="1450"/>
      <c r="DW14" s="1450"/>
      <c r="DX14" s="1450"/>
      <c r="DY14" s="1450"/>
      <c r="DZ14" s="1450"/>
      <c r="EA14" s="1450"/>
      <c r="EB14" s="1450"/>
      <c r="EC14" s="1450"/>
      <c r="ED14" s="1450"/>
      <c r="EE14" s="1450"/>
      <c r="EF14" s="1450"/>
      <c r="EG14" s="1450"/>
      <c r="EH14" s="1450"/>
      <c r="EI14" s="1450"/>
      <c r="EJ14" s="1450"/>
      <c r="EK14" s="1450"/>
      <c r="EL14" s="1450"/>
      <c r="EM14" s="1450"/>
      <c r="EN14" s="1450"/>
      <c r="EO14" s="1450"/>
      <c r="EP14" s="1450"/>
      <c r="EQ14" s="1450"/>
      <c r="ER14" s="1450"/>
      <c r="ES14" s="1450"/>
      <c r="ET14" s="1450"/>
      <c r="EU14" s="1450"/>
      <c r="EV14" s="1450"/>
      <c r="EW14" s="1450"/>
      <c r="EX14" s="1450"/>
      <c r="EY14" s="1450"/>
      <c r="EZ14" s="1450"/>
      <c r="FA14" s="1450"/>
      <c r="FB14" s="1450"/>
      <c r="FC14" s="1450"/>
      <c r="FD14" s="1450"/>
      <c r="FE14" s="1450"/>
      <c r="FF14" s="1450"/>
      <c r="FG14" s="1450"/>
      <c r="FH14" s="1450"/>
      <c r="FI14" s="1450"/>
      <c r="FJ14" s="1450"/>
      <c r="FK14" s="1450"/>
      <c r="FL14" s="1450"/>
      <c r="FM14" s="1450"/>
      <c r="FN14" s="1450"/>
      <c r="FO14" s="1450"/>
      <c r="FP14" s="1450"/>
      <c r="FQ14" s="1450"/>
      <c r="FR14" s="1450"/>
      <c r="FS14" s="1450"/>
      <c r="FT14" s="1450"/>
      <c r="FU14" s="1450"/>
      <c r="FV14" s="1450"/>
      <c r="FW14" s="1455"/>
      <c r="FX14" s="33"/>
      <c r="GC14" s="535">
        <v>36</v>
      </c>
    </row>
    <row r="15" spans="2:185" ht="37.799999999999997" customHeight="1">
      <c r="D15" s="57"/>
      <c r="E15" s="540"/>
      <c r="F15" s="1251"/>
      <c r="G15" s="1251"/>
      <c r="H15" s="1251"/>
      <c r="I15" s="1251"/>
      <c r="J15" s="1467"/>
      <c r="K15" s="1467"/>
      <c r="L15" s="1467"/>
      <c r="M15" s="1467"/>
      <c r="N15" s="1467"/>
      <c r="O15" s="1358"/>
      <c r="P15" s="1436"/>
      <c r="Q15" s="1358"/>
      <c r="R15" s="1436"/>
      <c r="S15" s="1358"/>
      <c r="T15" s="1436"/>
      <c r="U15" s="1358"/>
      <c r="V15" s="1436"/>
      <c r="W15" s="1358"/>
      <c r="X15" s="1436"/>
      <c r="Y15" s="1358"/>
      <c r="Z15" s="1436"/>
      <c r="AA15" s="1358"/>
      <c r="AB15" s="1436"/>
      <c r="AC15" s="1450"/>
      <c r="AD15" s="1450"/>
      <c r="AE15" s="1450"/>
      <c r="AF15" s="1450"/>
      <c r="AG15" s="1450"/>
      <c r="AH15" s="1450"/>
      <c r="AI15" s="1450"/>
      <c r="AJ15" s="1450"/>
      <c r="AK15" s="1450"/>
      <c r="AL15" s="1450"/>
      <c r="AM15" s="1450"/>
      <c r="AN15" s="1450"/>
      <c r="AO15" s="1450"/>
      <c r="AP15" s="1450"/>
      <c r="AQ15" s="1450"/>
      <c r="AR15" s="1450"/>
      <c r="AS15" s="1450"/>
      <c r="AT15" s="1450"/>
      <c r="AU15" s="1450"/>
      <c r="AV15" s="1450"/>
      <c r="AW15" s="1450"/>
      <c r="AX15" s="1450"/>
      <c r="AY15" s="1450"/>
      <c r="AZ15" s="1450"/>
      <c r="BA15" s="1450"/>
      <c r="BB15" s="1450"/>
      <c r="BC15" s="1450"/>
      <c r="BD15" s="1450"/>
      <c r="BE15" s="1450"/>
      <c r="BF15" s="1450"/>
      <c r="BG15" s="1450"/>
      <c r="BH15" s="1450"/>
      <c r="BI15" s="1450"/>
      <c r="BJ15" s="1450"/>
      <c r="BK15" s="1450"/>
      <c r="BL15" s="1450"/>
      <c r="BM15" s="1450"/>
      <c r="BN15" s="1450"/>
      <c r="BO15" s="1450"/>
      <c r="BP15" s="1450"/>
      <c r="BQ15" s="1450"/>
      <c r="BR15" s="1450"/>
      <c r="BS15" s="1451"/>
      <c r="BT15" s="1358"/>
      <c r="BU15" s="1436"/>
      <c r="BV15" s="1358"/>
      <c r="BW15" s="1436"/>
      <c r="BX15" s="1358"/>
      <c r="BY15" s="1436"/>
      <c r="BZ15" s="1358"/>
      <c r="CA15" s="1436"/>
      <c r="CB15" s="1358"/>
      <c r="CC15" s="1436"/>
      <c r="CD15" s="1358"/>
      <c r="CE15" s="1436"/>
      <c r="CF15" s="1358"/>
      <c r="CG15" s="1436"/>
      <c r="CH15" s="1358"/>
      <c r="CI15" s="1436"/>
      <c r="CJ15" s="1358"/>
      <c r="CK15" s="1436"/>
      <c r="CL15" s="1457"/>
      <c r="CM15" s="1450"/>
      <c r="CN15" s="1450"/>
      <c r="CO15" s="1450"/>
      <c r="CP15" s="1450"/>
      <c r="CQ15" s="1450"/>
      <c r="CR15" s="1450"/>
      <c r="CS15" s="1450"/>
      <c r="CT15" s="1450"/>
      <c r="CU15" s="1450"/>
      <c r="CV15" s="1450"/>
      <c r="CW15" s="1450"/>
      <c r="CX15" s="1451"/>
      <c r="CY15" s="1358"/>
      <c r="CZ15" s="1436"/>
      <c r="DA15" s="1358"/>
      <c r="DB15" s="1436"/>
      <c r="DC15" s="1358"/>
      <c r="DD15" s="1436"/>
      <c r="DE15" s="1358"/>
      <c r="DF15" s="1436"/>
      <c r="DG15" s="1358"/>
      <c r="DH15" s="1436"/>
      <c r="DI15" s="1358"/>
      <c r="DJ15" s="1436"/>
      <c r="DK15" s="1457"/>
      <c r="DL15" s="1450"/>
      <c r="DM15" s="1450"/>
      <c r="DN15" s="1450"/>
      <c r="DO15" s="1450"/>
      <c r="DP15" s="1450"/>
      <c r="DQ15" s="1450"/>
      <c r="DR15" s="1450"/>
      <c r="DS15" s="1450"/>
      <c r="DT15" s="1450"/>
      <c r="DU15" s="1450"/>
      <c r="DV15" s="1450"/>
      <c r="DW15" s="1450"/>
      <c r="DX15" s="1450"/>
      <c r="DY15" s="1450"/>
      <c r="DZ15" s="1450"/>
      <c r="EA15" s="1450"/>
      <c r="EB15" s="1450"/>
      <c r="EC15" s="1450"/>
      <c r="ED15" s="1450"/>
      <c r="EE15" s="1450"/>
      <c r="EF15" s="1450"/>
      <c r="EG15" s="1450"/>
      <c r="EH15" s="1450"/>
      <c r="EI15" s="1450"/>
      <c r="EJ15" s="1450"/>
      <c r="EK15" s="1450"/>
      <c r="EL15" s="1450"/>
      <c r="EM15" s="1450"/>
      <c r="EN15" s="1450"/>
      <c r="EO15" s="1450"/>
      <c r="EP15" s="1450"/>
      <c r="EQ15" s="1450"/>
      <c r="ER15" s="1450"/>
      <c r="ES15" s="1450"/>
      <c r="ET15" s="1450"/>
      <c r="EU15" s="1450"/>
      <c r="EV15" s="1450"/>
      <c r="EW15" s="1450"/>
      <c r="EX15" s="1450"/>
      <c r="EY15" s="1450"/>
      <c r="EZ15" s="1450"/>
      <c r="FA15" s="1450"/>
      <c r="FB15" s="1450"/>
      <c r="FC15" s="1450"/>
      <c r="FD15" s="1450"/>
      <c r="FE15" s="1450"/>
      <c r="FF15" s="1450"/>
      <c r="FG15" s="1450"/>
      <c r="FH15" s="1450"/>
      <c r="FI15" s="1450"/>
      <c r="FJ15" s="1450"/>
      <c r="FK15" s="1450"/>
      <c r="FL15" s="1450"/>
      <c r="FM15" s="1450"/>
      <c r="FN15" s="1450"/>
      <c r="FO15" s="1450"/>
      <c r="FP15" s="1450"/>
      <c r="FQ15" s="1450"/>
      <c r="FR15" s="1450"/>
      <c r="FS15" s="1450"/>
      <c r="FT15" s="1450"/>
      <c r="FU15" s="1450"/>
      <c r="FV15" s="1450"/>
      <c r="FW15" s="1455"/>
      <c r="FX15" s="33"/>
      <c r="GC15" s="535">
        <v>36</v>
      </c>
    </row>
    <row r="16" spans="2:185" ht="12.75" customHeight="1">
      <c r="D16" s="57"/>
      <c r="E16" s="540"/>
      <c r="F16" s="1251"/>
      <c r="G16" s="1251"/>
      <c r="H16" s="1251"/>
      <c r="I16" s="1251"/>
      <c r="J16" s="1467"/>
      <c r="K16" s="1467"/>
      <c r="L16" s="1467"/>
      <c r="M16" s="1467"/>
      <c r="N16" s="1467"/>
      <c r="O16" s="1418" t="s">
        <v>828</v>
      </c>
      <c r="P16" s="1449"/>
      <c r="Q16" s="1418" t="s">
        <v>830</v>
      </c>
      <c r="R16" s="1449"/>
      <c r="S16" s="1418" t="s">
        <v>834</v>
      </c>
      <c r="T16" s="1449"/>
      <c r="U16" s="1418" t="s">
        <v>839</v>
      </c>
      <c r="V16" s="1449"/>
      <c r="W16" s="1418" t="s">
        <v>842</v>
      </c>
      <c r="X16" s="1449"/>
      <c r="Y16" s="1418" t="s">
        <v>846</v>
      </c>
      <c r="Z16" s="1449"/>
      <c r="AA16" s="1418" t="s">
        <v>849</v>
      </c>
      <c r="AB16" s="1449"/>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c r="BC16" s="1450"/>
      <c r="BD16" s="1450"/>
      <c r="BE16" s="1450"/>
      <c r="BF16" s="1450"/>
      <c r="BG16" s="1450"/>
      <c r="BH16" s="1450"/>
      <c r="BI16" s="1450"/>
      <c r="BJ16" s="1450"/>
      <c r="BK16" s="1450"/>
      <c r="BL16" s="1450"/>
      <c r="BM16" s="1450"/>
      <c r="BN16" s="1450"/>
      <c r="BO16" s="1450"/>
      <c r="BP16" s="1450"/>
      <c r="BQ16" s="1450"/>
      <c r="BR16" s="1450"/>
      <c r="BS16" s="1451"/>
      <c r="BT16" s="1418" t="s">
        <v>561</v>
      </c>
      <c r="BU16" s="1449"/>
      <c r="BV16" s="1418" t="s">
        <v>561</v>
      </c>
      <c r="BW16" s="1449"/>
      <c r="BX16" s="1418" t="s">
        <v>561</v>
      </c>
      <c r="BY16" s="1449"/>
      <c r="BZ16" s="1418" t="s">
        <v>561</v>
      </c>
      <c r="CA16" s="1449"/>
      <c r="CB16" s="1418" t="s">
        <v>1111</v>
      </c>
      <c r="CC16" s="1449"/>
      <c r="CD16" s="1418" t="s">
        <v>561</v>
      </c>
      <c r="CE16" s="1449"/>
      <c r="CF16" s="1418" t="s">
        <v>1112</v>
      </c>
      <c r="CG16" s="1449"/>
      <c r="CH16" s="1418" t="s">
        <v>1113</v>
      </c>
      <c r="CI16" s="1449"/>
      <c r="CJ16" s="1418" t="s">
        <v>1113</v>
      </c>
      <c r="CK16" s="1449"/>
      <c r="CL16" s="1457"/>
      <c r="CM16" s="1450"/>
      <c r="CN16" s="1450"/>
      <c r="CO16" s="1450"/>
      <c r="CP16" s="1450"/>
      <c r="CQ16" s="1450"/>
      <c r="CR16" s="1450"/>
      <c r="CS16" s="1450"/>
      <c r="CT16" s="1450"/>
      <c r="CU16" s="1450"/>
      <c r="CV16" s="1450"/>
      <c r="CW16" s="1450"/>
      <c r="CX16" s="1451"/>
      <c r="CY16" s="1356" t="s">
        <v>561</v>
      </c>
      <c r="CZ16" s="1420"/>
      <c r="DA16" s="1356" t="s">
        <v>561</v>
      </c>
      <c r="DB16" s="1420"/>
      <c r="DC16" s="1356" t="s">
        <v>561</v>
      </c>
      <c r="DD16" s="1420"/>
      <c r="DE16" s="1418" t="s">
        <v>1111</v>
      </c>
      <c r="DF16" s="1449"/>
      <c r="DG16" s="1418" t="s">
        <v>1114</v>
      </c>
      <c r="DH16" s="1449"/>
      <c r="DI16" s="1418" t="s">
        <v>1114</v>
      </c>
      <c r="DJ16" s="1449"/>
      <c r="DK16" s="1457"/>
      <c r="DL16" s="1450"/>
      <c r="DM16" s="1450"/>
      <c r="DN16" s="1450"/>
      <c r="DO16" s="1450"/>
      <c r="DP16" s="1450"/>
      <c r="DQ16" s="1450"/>
      <c r="DR16" s="1450"/>
      <c r="DS16" s="1450"/>
      <c r="DT16" s="1450"/>
      <c r="DU16" s="1450"/>
      <c r="DV16" s="1450"/>
      <c r="DW16" s="1450"/>
      <c r="DX16" s="1450"/>
      <c r="DY16" s="1450"/>
      <c r="DZ16" s="1450"/>
      <c r="EA16" s="1450"/>
      <c r="EB16" s="1450"/>
      <c r="EC16" s="1450"/>
      <c r="ED16" s="1450"/>
      <c r="EE16" s="1450"/>
      <c r="EF16" s="1450"/>
      <c r="EG16" s="1450"/>
      <c r="EH16" s="1450"/>
      <c r="EI16" s="1450"/>
      <c r="EJ16" s="1450"/>
      <c r="EK16" s="1450"/>
      <c r="EL16" s="1450"/>
      <c r="EM16" s="1450"/>
      <c r="EN16" s="1450"/>
      <c r="EO16" s="1450"/>
      <c r="EP16" s="1450"/>
      <c r="EQ16" s="1450"/>
      <c r="ER16" s="1450"/>
      <c r="ES16" s="1450"/>
      <c r="ET16" s="1450"/>
      <c r="EU16" s="1450"/>
      <c r="EV16" s="1450"/>
      <c r="EW16" s="1450"/>
      <c r="EX16" s="1450"/>
      <c r="EY16" s="1450"/>
      <c r="EZ16" s="1450"/>
      <c r="FA16" s="1450"/>
      <c r="FB16" s="1450"/>
      <c r="FC16" s="1450"/>
      <c r="FD16" s="1450"/>
      <c r="FE16" s="1450"/>
      <c r="FF16" s="1450"/>
      <c r="FG16" s="1450"/>
      <c r="FH16" s="1450"/>
      <c r="FI16" s="1450"/>
      <c r="FJ16" s="1450"/>
      <c r="FK16" s="1450"/>
      <c r="FL16" s="1450"/>
      <c r="FM16" s="1450"/>
      <c r="FN16" s="1450"/>
      <c r="FO16" s="1450"/>
      <c r="FP16" s="1450"/>
      <c r="FQ16" s="1450"/>
      <c r="FR16" s="1450"/>
      <c r="FS16" s="1450"/>
      <c r="FT16" s="1450"/>
      <c r="FU16" s="1450"/>
      <c r="FV16" s="1450"/>
      <c r="FW16" s="1455"/>
      <c r="FX16" s="33"/>
      <c r="GC16" s="535">
        <v>12</v>
      </c>
    </row>
    <row r="17" spans="1:185" ht="15.75" customHeight="1">
      <c r="E17" s="540"/>
      <c r="F17" s="1251"/>
      <c r="G17" s="1251"/>
      <c r="H17" s="1251"/>
      <c r="I17" s="1251"/>
      <c r="J17" s="1467"/>
      <c r="K17" s="1467"/>
      <c r="L17" s="1467"/>
      <c r="M17" s="1467"/>
      <c r="N17" s="1467"/>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50"/>
      <c r="AD17" s="1450"/>
      <c r="AE17" s="1450"/>
      <c r="AF17" s="1450"/>
      <c r="AG17" s="1450"/>
      <c r="AH17" s="1450"/>
      <c r="AI17" s="1450"/>
      <c r="AJ17" s="1450"/>
      <c r="AK17" s="1450"/>
      <c r="AL17" s="1450"/>
      <c r="AM17" s="1450"/>
      <c r="AN17" s="1450"/>
      <c r="AO17" s="1450"/>
      <c r="AP17" s="1450"/>
      <c r="AQ17" s="1450"/>
      <c r="AR17" s="1450"/>
      <c r="AS17" s="1450"/>
      <c r="AT17" s="1450"/>
      <c r="AU17" s="1450"/>
      <c r="AV17" s="1450"/>
      <c r="AW17" s="1450"/>
      <c r="AX17" s="1450"/>
      <c r="AY17" s="1450"/>
      <c r="AZ17" s="1450"/>
      <c r="BA17" s="1450"/>
      <c r="BB17" s="1450"/>
      <c r="BC17" s="1450"/>
      <c r="BD17" s="1450"/>
      <c r="BE17" s="1450"/>
      <c r="BF17" s="1450"/>
      <c r="BG17" s="1450"/>
      <c r="BH17" s="1450"/>
      <c r="BI17" s="1450"/>
      <c r="BJ17" s="1450"/>
      <c r="BK17" s="1450"/>
      <c r="BL17" s="1450"/>
      <c r="BM17" s="1450"/>
      <c r="BN17" s="1450"/>
      <c r="BO17" s="1450"/>
      <c r="BP17" s="1450"/>
      <c r="BQ17" s="1450"/>
      <c r="BR17" s="1450"/>
      <c r="BS17" s="1451"/>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57"/>
      <c r="CM17" s="1450"/>
      <c r="CN17" s="1450"/>
      <c r="CO17" s="1450"/>
      <c r="CP17" s="1450"/>
      <c r="CQ17" s="1450"/>
      <c r="CR17" s="1450"/>
      <c r="CS17" s="1450"/>
      <c r="CT17" s="1450"/>
      <c r="CU17" s="1450"/>
      <c r="CV17" s="1450"/>
      <c r="CW17" s="1450"/>
      <c r="CX17" s="1451"/>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57"/>
      <c r="DL17" s="1450"/>
      <c r="DM17" s="1450"/>
      <c r="DN17" s="1450"/>
      <c r="DO17" s="1450"/>
      <c r="DP17" s="1450"/>
      <c r="DQ17" s="1450"/>
      <c r="DR17" s="1450"/>
      <c r="DS17" s="1450"/>
      <c r="DT17" s="1450"/>
      <c r="DU17" s="1450"/>
      <c r="DV17" s="1450"/>
      <c r="DW17" s="1450"/>
      <c r="DX17" s="1450"/>
      <c r="DY17" s="1450"/>
      <c r="DZ17" s="1450"/>
      <c r="EA17" s="1450"/>
      <c r="EB17" s="1450"/>
      <c r="EC17" s="1450"/>
      <c r="ED17" s="1450"/>
      <c r="EE17" s="1450"/>
      <c r="EF17" s="1450"/>
      <c r="EG17" s="1450"/>
      <c r="EH17" s="1450"/>
      <c r="EI17" s="1450"/>
      <c r="EJ17" s="1450"/>
      <c r="EK17" s="1450"/>
      <c r="EL17" s="1450"/>
      <c r="EM17" s="1450"/>
      <c r="EN17" s="1450"/>
      <c r="EO17" s="1450"/>
      <c r="EP17" s="1450"/>
      <c r="EQ17" s="1450"/>
      <c r="ER17" s="1450"/>
      <c r="ES17" s="1450"/>
      <c r="ET17" s="1450"/>
      <c r="EU17" s="1450"/>
      <c r="EV17" s="1450"/>
      <c r="EW17" s="1450"/>
      <c r="EX17" s="1450"/>
      <c r="EY17" s="1450"/>
      <c r="EZ17" s="1450"/>
      <c r="FA17" s="1450"/>
      <c r="FB17" s="1450"/>
      <c r="FC17" s="1450"/>
      <c r="FD17" s="1450"/>
      <c r="FE17" s="1450"/>
      <c r="FF17" s="1450"/>
      <c r="FG17" s="1450"/>
      <c r="FH17" s="1450"/>
      <c r="FI17" s="1450"/>
      <c r="FJ17" s="1450"/>
      <c r="FK17" s="1450"/>
      <c r="FL17" s="1450"/>
      <c r="FM17" s="1450"/>
      <c r="FN17" s="1450"/>
      <c r="FO17" s="1450"/>
      <c r="FP17" s="1450"/>
      <c r="FQ17" s="1450"/>
      <c r="FR17" s="1450"/>
      <c r="FS17" s="1450"/>
      <c r="FT17" s="1450"/>
      <c r="FU17" s="1450"/>
      <c r="FV17" s="1450"/>
      <c r="FW17" s="1456"/>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8" hidden="1" customWidth="1"/>
    <col min="2" max="2" width="9.125" style="11" hidden="1" customWidth="1"/>
    <col min="3" max="3" width="4" style="87" customWidth="1"/>
    <col min="4" max="4" width="6" style="11" customWidth="1"/>
    <col min="5" max="5" width="36" style="11" customWidth="1"/>
    <col min="6" max="6" width="9" style="11" customWidth="1"/>
    <col min="7" max="7" width="42.375" style="11" hidden="1" customWidth="1"/>
    <col min="8" max="8" width="40.75" style="11" customWidth="1"/>
    <col min="9" max="9" width="93" style="63" customWidth="1"/>
    <col min="10" max="17" width="10" style="11" customWidth="1"/>
    <col min="18" max="18" width="10" style="302" customWidth="1"/>
    <col min="19" max="19" width="10.625" style="11" hidden="1"/>
  </cols>
  <sheetData>
    <row r="1" spans="1:19" s="63" customFormat="1" ht="15" hidden="1" customHeight="1">
      <c r="C1" s="301"/>
      <c r="H1" s="63">
        <v>4</v>
      </c>
      <c r="R1" s="236"/>
      <c r="S1" s="63" t="s">
        <v>14</v>
      </c>
    </row>
    <row r="2" spans="1:19" ht="22.5" hidden="1" customHeight="1">
      <c r="C2" s="1039" t="s">
        <v>522</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75"/>
      <c r="F5" s="1275"/>
      <c r="G5" s="1275"/>
      <c r="H5" s="1275"/>
      <c r="S5" s="11">
        <v>38</v>
      </c>
    </row>
    <row r="6" spans="1:19" ht="15.75" customHeight="1">
      <c r="D6" s="1247" t="str">
        <f>IF(org=0,"Не определено",org)</f>
        <v>АО "Юграавиа"</v>
      </c>
      <c r="E6" s="1247"/>
      <c r="F6" s="1247"/>
      <c r="G6" s="1247"/>
      <c r="H6" s="1247"/>
      <c r="S6" s="11">
        <v>15</v>
      </c>
    </row>
    <row r="7" spans="1:19" s="11" customFormat="1" ht="15.75" customHeight="1">
      <c r="A7" s="8"/>
      <c r="C7" s="87"/>
      <c r="D7" s="342"/>
      <c r="E7" s="342"/>
      <c r="F7" s="342"/>
      <c r="G7" s="342"/>
      <c r="H7" s="435"/>
      <c r="I7" s="63"/>
      <c r="R7" s="302"/>
      <c r="S7" s="11">
        <v>15</v>
      </c>
    </row>
    <row r="8" spans="1:19" ht="1.05" customHeight="1">
      <c r="H8" s="63" t="s">
        <v>118</v>
      </c>
      <c r="S8" s="11">
        <v>1</v>
      </c>
    </row>
    <row r="9" spans="1:19" ht="15.75" customHeight="1">
      <c r="D9" s="409"/>
      <c r="E9" s="1404" t="s">
        <v>106</v>
      </c>
      <c r="F9" s="1405"/>
      <c r="G9" s="467" t="str">
        <f>IF(G8="","",INDEX(DIFFERENTIATION_UNMERGE_VD,MATCH(G8,DIFFERENTIATION_ID_DIFF,0)))</f>
        <v/>
      </c>
      <c r="H9" s="467">
        <f>IF(H8="","",INDEX(DIFFERENTIATION_UNMERGE_VD,MATCH(H8,DIFFERENTIATION_ID_DIFF,0)))</f>
        <v>0</v>
      </c>
      <c r="I9" s="1158" t="s">
        <v>305</v>
      </c>
      <c r="S9" s="11">
        <v>15</v>
      </c>
    </row>
    <row r="10" spans="1:19" s="11" customFormat="1" ht="15.75" customHeight="1">
      <c r="A10" s="8"/>
      <c r="C10" s="87"/>
      <c r="D10" s="409"/>
      <c r="E10" s="1404" t="s">
        <v>567</v>
      </c>
      <c r="F10" s="1405"/>
      <c r="G10" s="467" t="str">
        <f>IF(G8="","",INDEX(DIFFERENTIATION_UNMERGE_AREA,MATCH(G8,DIFFERENTIATION_ID_DIFF,0)))</f>
        <v/>
      </c>
      <c r="H10" s="467" t="str">
        <f>IF(H8="","",INDEX(DIFFERENTIATION_UNMERGE_AREA,MATCH(H8,DIFFERENTIATION_ID_DIFF,0)))</f>
        <v/>
      </c>
      <c r="I10" s="1158"/>
      <c r="R10" s="302"/>
      <c r="S10" s="11">
        <v>15</v>
      </c>
    </row>
    <row r="11" spans="1:19" s="11" customFormat="1" ht="15.75" customHeight="1">
      <c r="A11" s="8"/>
      <c r="C11" s="87"/>
      <c r="D11" s="409"/>
      <c r="E11" s="1404" t="s">
        <v>568</v>
      </c>
      <c r="F11" s="1405"/>
      <c r="G11" s="467" t="str">
        <f>IF(G8="","",INDEX(DIFFERENTIATION_UNMERGE_SYSTEM,MATCH(G8,DIFFERENTIATION_ID_DIFF,0)))</f>
        <v/>
      </c>
      <c r="H11" s="467" t="str">
        <f>IF(H8="","",INDEX(DIFFERENTIATION_UNMERGE_SYSTEM,MATCH(H8,DIFFERENTIATION_ID_DIFF,0)))</f>
        <v>без дифференциации</v>
      </c>
      <c r="I11" s="1158"/>
      <c r="R11" s="302"/>
      <c r="S11" s="11">
        <v>15</v>
      </c>
    </row>
    <row r="12" spans="1:19" s="11" customFormat="1" ht="15.75" customHeight="1">
      <c r="A12" s="8"/>
      <c r="C12" s="87"/>
      <c r="D12" s="1406" t="s">
        <v>304</v>
      </c>
      <c r="E12" s="1407"/>
      <c r="F12" s="1407"/>
      <c r="G12" s="512"/>
      <c r="H12" s="512"/>
      <c r="I12" s="1158"/>
      <c r="R12" s="302"/>
      <c r="S12" s="11">
        <v>15</v>
      </c>
    </row>
    <row r="13" spans="1:19" ht="35.700000000000003" customHeight="1">
      <c r="D13" s="41" t="s">
        <v>89</v>
      </c>
      <c r="E13" s="41" t="s">
        <v>306</v>
      </c>
      <c r="F13" s="41" t="s">
        <v>569</v>
      </c>
      <c r="G13" s="389" t="s">
        <v>307</v>
      </c>
      <c r="H13" s="389" t="s">
        <v>307</v>
      </c>
      <c r="I13" s="1158"/>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1117</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1117</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7"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1117</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1118</v>
      </c>
      <c r="E20" s="342"/>
      <c r="I20" s="970"/>
      <c r="S20" s="11">
        <v>0</v>
      </c>
    </row>
    <row r="21" spans="1:19" ht="29.25" customHeight="1">
      <c r="C21" s="77"/>
      <c r="D21" s="43" t="s">
        <v>317</v>
      </c>
      <c r="E21" s="119"/>
      <c r="F21" s="41" t="str">
        <f>IF(TEMPLATE_SPHERE="HEAT","Гкал/час","тыс. куб. м/сутки")</f>
        <v>тыс. куб. м/сутки</v>
      </c>
      <c r="G21" s="386"/>
      <c r="H21" s="386"/>
      <c r="I21" s="120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1119</v>
      </c>
      <c r="F22" s="334"/>
      <c r="G22" s="334"/>
      <c r="H22" s="334"/>
      <c r="I22" s="1206"/>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33" hidden="1" customWidth="1"/>
    <col min="2" max="2" width="9.1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6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11"/>
      <c r="F5" s="1211"/>
      <c r="G5" s="1212"/>
      <c r="Q5" s="11">
        <v>28</v>
      </c>
    </row>
    <row r="6" spans="1:17" s="11" customFormat="1" ht="18.75" customHeight="1">
      <c r="A6" s="33"/>
      <c r="B6" s="63"/>
      <c r="C6" s="28"/>
      <c r="D6" s="1269" t="str">
        <f>IF(org=0,"Не определено",org)</f>
        <v>АО "Юграавиа"</v>
      </c>
      <c r="E6" s="1270"/>
      <c r="F6" s="1270"/>
      <c r="G6" s="1271"/>
      <c r="I6" s="69"/>
      <c r="J6" s="69"/>
      <c r="Q6" s="11">
        <v>18</v>
      </c>
    </row>
    <row r="7" spans="1:17" ht="14.7" customHeight="1">
      <c r="C7" s="28"/>
      <c r="D7" s="10"/>
      <c r="E7" s="14"/>
      <c r="F7" s="435"/>
      <c r="G7" s="101"/>
      <c r="Q7" s="11">
        <v>14</v>
      </c>
    </row>
    <row r="8" spans="1:17" s="11" customFormat="1" ht="1.05" customHeight="1">
      <c r="A8" s="33"/>
      <c r="B8" s="63"/>
      <c r="C8" s="28"/>
      <c r="D8" s="10"/>
      <c r="E8" s="14"/>
      <c r="F8" s="435"/>
      <c r="G8" s="101"/>
      <c r="I8" s="69"/>
      <c r="J8" s="69"/>
      <c r="Q8" s="11">
        <v>1</v>
      </c>
    </row>
    <row r="9" spans="1:17" ht="14.7" customHeight="1">
      <c r="C9" s="28"/>
      <c r="D9" s="1255" t="s">
        <v>304</v>
      </c>
      <c r="E9" s="1255"/>
      <c r="F9" s="1255"/>
      <c r="G9" s="1421" t="s">
        <v>305</v>
      </c>
      <c r="Q9" s="11">
        <v>14</v>
      </c>
    </row>
    <row r="10" spans="1:17" ht="24" customHeight="1">
      <c r="C10" s="28"/>
      <c r="D10" s="36" t="s">
        <v>89</v>
      </c>
      <c r="E10" s="39" t="s">
        <v>306</v>
      </c>
      <c r="F10" s="39" t="s">
        <v>394</v>
      </c>
      <c r="G10" s="1421"/>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310</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7" customHeight="1">
      <c r="A14" s="34"/>
      <c r="C14" s="28"/>
      <c r="D14" s="64" t="s">
        <v>1060</v>
      </c>
      <c r="E14" s="103"/>
      <c r="F14" s="117"/>
      <c r="G14" s="12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206"/>
      <c r="Q15" s="11">
        <v>15</v>
      </c>
    </row>
    <row r="16" spans="1:17" ht="14.7"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310</v>
      </c>
      <c r="G16" s="172"/>
      <c r="Q16" s="11">
        <v>14</v>
      </c>
    </row>
    <row r="17" spans="1:17" ht="14.7" customHeight="1">
      <c r="A17" s="34"/>
      <c r="C17" s="28"/>
      <c r="D17" s="64" t="s">
        <v>1068</v>
      </c>
      <c r="E17" s="103"/>
      <c r="F17" s="220"/>
      <c r="G17" s="12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2.05" customHeight="1">
      <c r="A18" s="34"/>
      <c r="B18" s="63"/>
      <c r="C18" s="28"/>
      <c r="D18" s="40"/>
      <c r="E18" s="111" t="s">
        <v>1121</v>
      </c>
      <c r="F18" s="51"/>
      <c r="G18" s="1206"/>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7" customHeight="1">
      <c r="A20" s="34"/>
      <c r="B20" s="63"/>
      <c r="C20" s="28"/>
      <c r="D20" s="252">
        <v>2</v>
      </c>
      <c r="E20" s="102" t="s">
        <v>1124</v>
      </c>
      <c r="F20" s="39" t="s">
        <v>310</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1125</v>
      </c>
      <c r="F23" s="39" t="s">
        <v>310</v>
      </c>
      <c r="G23" s="67"/>
      <c r="I23" s="69"/>
      <c r="J23" s="69"/>
      <c r="Q23" s="11">
        <v>0</v>
      </c>
    </row>
    <row r="24" spans="1:17" s="11" customFormat="1" ht="14.25" hidden="1" customHeight="1">
      <c r="A24" s="34"/>
      <c r="B24" s="63"/>
      <c r="C24" s="28"/>
      <c r="D24" s="64" t="s">
        <v>711</v>
      </c>
      <c r="E24" s="102" t="s">
        <v>1126</v>
      </c>
      <c r="F24" s="39" t="s">
        <v>310</v>
      </c>
      <c r="G24" s="172"/>
      <c r="I24" s="69"/>
      <c r="J24" s="69"/>
      <c r="Q24" s="11">
        <v>0</v>
      </c>
    </row>
    <row r="25" spans="1:17" s="11" customFormat="1" ht="14.25" hidden="1" customHeight="1">
      <c r="A25" s="34"/>
      <c r="B25" s="63"/>
      <c r="C25" s="28"/>
      <c r="D25" s="64" t="s">
        <v>714</v>
      </c>
      <c r="E25" s="103"/>
      <c r="F25" s="220"/>
      <c r="G25" s="1204" t="s">
        <v>1127</v>
      </c>
      <c r="I25" s="69"/>
      <c r="J25" s="69"/>
      <c r="Q25" s="11">
        <v>0</v>
      </c>
    </row>
    <row r="26" spans="1:17" s="11" customFormat="1" ht="22.5" hidden="1" customHeight="1">
      <c r="A26" s="34"/>
      <c r="B26" s="63"/>
      <c r="C26" s="28"/>
      <c r="D26" s="40"/>
      <c r="E26" s="111" t="s">
        <v>1128</v>
      </c>
      <c r="F26" s="51"/>
      <c r="G26" s="1206"/>
      <c r="I26" s="69"/>
      <c r="J26" s="69"/>
      <c r="Q26" s="11">
        <v>0</v>
      </c>
    </row>
    <row r="27" spans="1:17" ht="3" customHeight="1">
      <c r="Q27" s="11">
        <v>3</v>
      </c>
    </row>
    <row r="28" spans="1:17" ht="14.7" customHeight="1">
      <c r="D28" s="198"/>
      <c r="E28" s="197"/>
      <c r="F28" s="4"/>
      <c r="G28" s="4"/>
      <c r="H28" s="4"/>
      <c r="I28" s="4"/>
      <c r="J28" s="4"/>
      <c r="K28" s="4"/>
      <c r="L28" s="4"/>
      <c r="M28" s="4"/>
      <c r="N28" s="4"/>
      <c r="O28" s="4"/>
      <c r="P28" s="4"/>
      <c r="Q28" s="11">
        <v>14</v>
      </c>
    </row>
    <row r="29" spans="1:17" ht="14.7" customHeight="1">
      <c r="D29" s="198"/>
      <c r="E29" s="17"/>
      <c r="Q29" s="11">
        <v>14</v>
      </c>
    </row>
    <row r="30" spans="1:17" ht="14.7" customHeight="1">
      <c r="Q30" s="11">
        <v>14</v>
      </c>
    </row>
    <row r="31" spans="1:17" ht="14.7"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506" hidden="1" customWidth="1"/>
    <col min="2" max="2" width="9.125" style="63" hidden="1" customWidth="1"/>
    <col min="3" max="3" width="3" style="29" customWidth="1"/>
    <col min="4" max="4" width="6" style="11" customWidth="1"/>
    <col min="5" max="5" width="63" style="11" customWidth="1"/>
    <col min="6" max="6" width="1.75" style="11" hidden="1" customWidth="1"/>
    <col min="7" max="8" width="35" style="11" customWidth="1"/>
    <col min="9" max="9" width="91" style="11" customWidth="1"/>
    <col min="10" max="10" width="68" style="11" customWidth="1"/>
    <col min="11" max="12" width="10" style="69" customWidth="1"/>
    <col min="13" max="13" width="10.625" style="11" hidden="1"/>
  </cols>
  <sheetData>
    <row r="1" spans="1:13" ht="22.5" hidden="1" customHeight="1">
      <c r="M1" s="11" t="s">
        <v>14</v>
      </c>
    </row>
    <row r="2" spans="1:13" s="11" customFormat="1" ht="18.75" hidden="1" customHeight="1">
      <c r="A2" s="62"/>
      <c r="B2" s="63"/>
      <c r="C2" s="939" t="s">
        <v>522</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522</v>
      </c>
      <c r="D4" s="64"/>
      <c r="E4" s="102" t="s">
        <v>1129</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522</v>
      </c>
      <c r="D6" s="64"/>
      <c r="E6" s="112" t="s">
        <v>1130</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522</v>
      </c>
      <c r="D8" s="64"/>
      <c r="E8" s="112" t="s">
        <v>1131</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522</v>
      </c>
      <c r="D10" s="64"/>
      <c r="E10" s="112" t="s">
        <v>1132</v>
      </c>
      <c r="F10" s="39"/>
      <c r="G10" s="113"/>
      <c r="H10" s="39" t="s">
        <v>310</v>
      </c>
      <c r="K10" s="69"/>
      <c r="L10" s="69" t="s">
        <v>1133</v>
      </c>
      <c r="M10" s="11">
        <v>0</v>
      </c>
    </row>
    <row r="11" spans="1:13" ht="14.25" hidden="1" customHeight="1">
      <c r="M11" s="11">
        <v>0</v>
      </c>
    </row>
    <row r="12" spans="1:13" ht="14.25" hidden="1" customHeight="1">
      <c r="M12" s="11">
        <v>0</v>
      </c>
    </row>
    <row r="13" spans="1:13" ht="14.7" customHeight="1">
      <c r="C13" s="28"/>
      <c r="D13" s="10"/>
      <c r="E13" s="10"/>
      <c r="F13" s="10"/>
      <c r="G13" s="10"/>
      <c r="H13" s="20"/>
      <c r="I13" s="20"/>
      <c r="M13" s="11">
        <v>14</v>
      </c>
    </row>
    <row r="14" spans="1:13" ht="29.25" customHeight="1">
      <c r="C14" s="28"/>
      <c r="D14" s="12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11"/>
      <c r="F14" s="1211"/>
      <c r="G14" s="1211"/>
      <c r="H14" s="1212"/>
      <c r="M14" s="11">
        <v>28</v>
      </c>
    </row>
    <row r="15" spans="1:13" s="11" customFormat="1" ht="14.7" customHeight="1">
      <c r="A15" s="506"/>
      <c r="B15" s="63"/>
      <c r="C15" s="28"/>
      <c r="D15" s="1269" t="str">
        <f>IF(org=0,"Не определено",org)</f>
        <v>АО "Юграавиа"</v>
      </c>
      <c r="E15" s="1270"/>
      <c r="F15" s="1270"/>
      <c r="G15" s="1270"/>
      <c r="H15" s="1271"/>
      <c r="J15" s="489"/>
      <c r="K15" s="69"/>
      <c r="L15" s="69"/>
      <c r="M15" s="11">
        <v>14</v>
      </c>
    </row>
    <row r="16" spans="1:13" ht="14.7"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2.05" customHeight="1">
      <c r="C18" s="28"/>
      <c r="D18" s="1255" t="s">
        <v>304</v>
      </c>
      <c r="E18" s="1255"/>
      <c r="F18" s="1255"/>
      <c r="G18" s="1255"/>
      <c r="H18" s="1255"/>
      <c r="I18" s="1421" t="s">
        <v>305</v>
      </c>
      <c r="M18" s="11">
        <v>21</v>
      </c>
    </row>
    <row r="19" spans="1:13" ht="22.05" customHeight="1">
      <c r="C19" s="28"/>
      <c r="D19" s="36" t="s">
        <v>89</v>
      </c>
      <c r="E19" s="39" t="s">
        <v>306</v>
      </c>
      <c r="F19" s="39"/>
      <c r="G19" s="39" t="s">
        <v>307</v>
      </c>
      <c r="H19" s="39" t="s">
        <v>394</v>
      </c>
      <c r="I19" s="1421"/>
      <c r="M19" s="11">
        <v>21</v>
      </c>
    </row>
    <row r="20" spans="1:13" ht="12" hidden="1" customHeight="1">
      <c r="C20" s="28"/>
      <c r="D20" s="22"/>
      <c r="E20" s="22"/>
      <c r="F20" s="22"/>
      <c r="G20" s="22"/>
      <c r="H20" s="22"/>
      <c r="I20" s="22"/>
      <c r="M20" s="11">
        <v>0</v>
      </c>
    </row>
    <row r="21" spans="1:13" ht="14.7" customHeight="1">
      <c r="A21" s="62"/>
      <c r="C21" s="28"/>
      <c r="D21" s="64">
        <v>1</v>
      </c>
      <c r="E21" s="1471" t="s">
        <v>1134</v>
      </c>
      <c r="F21" s="1471"/>
      <c r="G21" s="1471"/>
      <c r="H21" s="1471"/>
      <c r="I21" s="114"/>
      <c r="M21" s="11">
        <v>14</v>
      </c>
    </row>
    <row r="22" spans="1:13" ht="21" customHeight="1">
      <c r="A22" s="62"/>
      <c r="C22" s="28"/>
      <c r="D22" s="64" t="s">
        <v>1024</v>
      </c>
      <c r="E22" s="102" t="s">
        <v>1135</v>
      </c>
      <c r="F22" s="39"/>
      <c r="G22" s="946"/>
      <c r="H22" s="39" t="s">
        <v>310</v>
      </c>
      <c r="I22" s="67" t="s">
        <v>1136</v>
      </c>
      <c r="M22" s="11">
        <v>20</v>
      </c>
    </row>
    <row r="23" spans="1:13" ht="60" customHeight="1">
      <c r="A23" s="62"/>
      <c r="C23" s="28"/>
      <c r="D23" s="64" t="s">
        <v>1026</v>
      </c>
      <c r="E23" s="102" t="s">
        <v>1137</v>
      </c>
      <c r="F23" s="39"/>
      <c r="G23" s="151"/>
      <c r="H23" s="117"/>
      <c r="I23" s="152" t="s">
        <v>1138</v>
      </c>
      <c r="M23" s="11">
        <v>57</v>
      </c>
    </row>
    <row r="24" spans="1:13" ht="14.7"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310</v>
      </c>
      <c r="H24" s="117"/>
      <c r="I24" s="153" t="s">
        <v>634</v>
      </c>
      <c r="M24" s="11">
        <v>14</v>
      </c>
    </row>
    <row r="25" spans="1:13" ht="48.3" customHeight="1">
      <c r="A25" s="62"/>
      <c r="C25" s="28"/>
      <c r="D25" s="64">
        <v>3</v>
      </c>
      <c r="E25" s="1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71"/>
      <c r="G25" s="1471"/>
      <c r="H25" s="1471"/>
      <c r="I25" s="114"/>
      <c r="M25" s="11">
        <v>46</v>
      </c>
    </row>
    <row r="26" spans="1:13" ht="14.7" customHeight="1">
      <c r="A26" s="62"/>
      <c r="C26" s="28"/>
      <c r="D26" s="64" t="s">
        <v>328</v>
      </c>
      <c r="E26" s="106"/>
      <c r="F26" s="39"/>
      <c r="G26" s="39" t="s">
        <v>310</v>
      </c>
      <c r="H26" s="117"/>
      <c r="I26" s="1204" t="s">
        <v>1139</v>
      </c>
      <c r="M26" s="11">
        <v>14</v>
      </c>
    </row>
    <row r="27" spans="1:13" ht="15.75" customHeight="1">
      <c r="A27" s="62" t="s">
        <v>110</v>
      </c>
      <c r="C27" s="28"/>
      <c r="D27" s="40"/>
      <c r="E27" s="110" t="s">
        <v>326</v>
      </c>
      <c r="F27" s="111"/>
      <c r="G27" s="111"/>
      <c r="H27" s="108"/>
      <c r="I27" s="1206"/>
      <c r="M27" s="11">
        <v>15</v>
      </c>
    </row>
    <row r="28" spans="1:13" ht="39.75" customHeight="1">
      <c r="A28" s="62"/>
      <c r="B28" s="63">
        <v>3</v>
      </c>
      <c r="C28" s="28"/>
      <c r="D28" s="64">
        <v>4</v>
      </c>
      <c r="E28" s="1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71"/>
      <c r="G28" s="1471"/>
      <c r="H28" s="1471"/>
      <c r="I28" s="114"/>
      <c r="M28" s="11">
        <v>38</v>
      </c>
    </row>
    <row r="29" spans="1:13" ht="21" customHeight="1">
      <c r="A29" s="62"/>
      <c r="C29" s="28"/>
      <c r="D29" s="64" t="s">
        <v>756</v>
      </c>
      <c r="E29" s="102" t="s">
        <v>1129</v>
      </c>
      <c r="F29" s="39"/>
      <c r="G29" s="151"/>
      <c r="H29" s="39" t="s">
        <v>310</v>
      </c>
      <c r="I29" s="1204" t="s">
        <v>1140</v>
      </c>
      <c r="M29" s="11">
        <v>20</v>
      </c>
    </row>
    <row r="30" spans="1:13" ht="15.75" customHeight="1">
      <c r="A30" s="62" t="s">
        <v>111</v>
      </c>
      <c r="C30" s="28"/>
      <c r="D30" s="40"/>
      <c r="E30" s="110" t="s">
        <v>326</v>
      </c>
      <c r="F30" s="111"/>
      <c r="G30" s="111"/>
      <c r="H30" s="108"/>
      <c r="I30" s="1206"/>
      <c r="M30" s="11">
        <v>15</v>
      </c>
    </row>
    <row r="31" spans="1:13" ht="31.5" customHeight="1">
      <c r="A31" s="62"/>
      <c r="B31" s="63">
        <v>3</v>
      </c>
      <c r="C31" s="28"/>
      <c r="D31" s="64">
        <v>5</v>
      </c>
      <c r="E31" s="1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71"/>
      <c r="G31" s="1471"/>
      <c r="H31" s="1471"/>
      <c r="I31" s="114"/>
      <c r="M31" s="11">
        <v>30</v>
      </c>
    </row>
    <row r="32" spans="1:13" ht="27.3" customHeight="1">
      <c r="A32" s="62"/>
      <c r="C32" s="28"/>
      <c r="D32" s="64" t="s">
        <v>317</v>
      </c>
      <c r="E32" s="143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34"/>
      <c r="G32" s="1434"/>
      <c r="H32" s="1434"/>
      <c r="I32" s="114"/>
      <c r="M32" s="11">
        <v>26</v>
      </c>
    </row>
    <row r="33" spans="1:13" ht="14.7" customHeight="1">
      <c r="A33" s="62"/>
      <c r="C33" s="28"/>
      <c r="D33" s="64" t="s">
        <v>1141</v>
      </c>
      <c r="E33" s="112" t="s">
        <v>1130</v>
      </c>
      <c r="F33" s="39"/>
      <c r="G33" s="151"/>
      <c r="H33" s="39" t="s">
        <v>310</v>
      </c>
      <c r="I33" s="1204" t="s">
        <v>1142</v>
      </c>
      <c r="M33" s="11">
        <v>14</v>
      </c>
    </row>
    <row r="34" spans="1:13" ht="15.75" customHeight="1">
      <c r="A34" s="62" t="s">
        <v>91</v>
      </c>
      <c r="C34" s="28"/>
      <c r="D34" s="40"/>
      <c r="E34" s="111" t="s">
        <v>326</v>
      </c>
      <c r="F34" s="107"/>
      <c r="G34" s="107"/>
      <c r="H34" s="108"/>
      <c r="I34" s="1206"/>
      <c r="M34" s="11">
        <v>15</v>
      </c>
    </row>
    <row r="35" spans="1:13" ht="25.2" customHeight="1">
      <c r="A35" s="62"/>
      <c r="C35" s="28"/>
      <c r="D35" s="64" t="s">
        <v>884</v>
      </c>
      <c r="E35" s="143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34"/>
      <c r="G35" s="1434"/>
      <c r="H35" s="1434"/>
      <c r="I35" s="114"/>
      <c r="M35" s="11">
        <v>24</v>
      </c>
    </row>
    <row r="36" spans="1:13" ht="14.7" customHeight="1">
      <c r="A36" s="62"/>
      <c r="C36" s="28"/>
      <c r="D36" s="64" t="s">
        <v>1143</v>
      </c>
      <c r="E36" s="112" t="s">
        <v>1131</v>
      </c>
      <c r="F36" s="39"/>
      <c r="G36" s="151"/>
      <c r="H36" s="39" t="s">
        <v>310</v>
      </c>
      <c r="I36" s="1180" t="s">
        <v>1144</v>
      </c>
      <c r="M36" s="11">
        <v>14</v>
      </c>
    </row>
    <row r="37" spans="1:13" ht="15.75" customHeight="1">
      <c r="A37" s="62" t="s">
        <v>92</v>
      </c>
      <c r="C37" s="28"/>
      <c r="D37" s="40"/>
      <c r="E37" s="111" t="s">
        <v>326</v>
      </c>
      <c r="F37" s="107"/>
      <c r="G37" s="107"/>
      <c r="H37" s="108"/>
      <c r="I37" s="1180"/>
      <c r="M37" s="11">
        <v>15</v>
      </c>
    </row>
    <row r="38" spans="1:13" ht="27.3" customHeight="1">
      <c r="A38" s="62"/>
      <c r="C38" s="28"/>
      <c r="D38" s="64" t="s">
        <v>885</v>
      </c>
      <c r="E38" s="143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34"/>
      <c r="G38" s="1434"/>
      <c r="H38" s="1434"/>
      <c r="I38" s="114"/>
      <c r="M38" s="11">
        <v>26</v>
      </c>
    </row>
    <row r="39" spans="1:13" ht="14.7" customHeight="1">
      <c r="A39" s="62"/>
      <c r="C39" s="28"/>
      <c r="D39" s="64" t="s">
        <v>886</v>
      </c>
      <c r="E39" s="112" t="s">
        <v>1132</v>
      </c>
      <c r="F39" s="39"/>
      <c r="G39" s="113"/>
      <c r="H39" s="39" t="s">
        <v>310</v>
      </c>
      <c r="I39" s="1204" t="s">
        <v>1145</v>
      </c>
      <c r="L39" s="69" t="s">
        <v>1133</v>
      </c>
      <c r="M39" s="11">
        <v>14</v>
      </c>
    </row>
    <row r="40" spans="1:13" ht="15.75" customHeight="1">
      <c r="A40" s="62" t="s">
        <v>112</v>
      </c>
      <c r="C40" s="28"/>
      <c r="D40" s="40"/>
      <c r="E40" s="111" t="s">
        <v>326</v>
      </c>
      <c r="F40" s="107"/>
      <c r="G40" s="107"/>
      <c r="H40" s="108"/>
      <c r="I40" s="1206"/>
      <c r="M40" s="11">
        <v>15</v>
      </c>
    </row>
    <row r="41" spans="1:13" s="34" customFormat="1" ht="3" customHeight="1">
      <c r="A41" s="62"/>
      <c r="K41" s="104"/>
      <c r="L41" s="104"/>
      <c r="M41" s="34">
        <v>3</v>
      </c>
    </row>
    <row r="42" spans="1:13" ht="26.25" customHeight="1">
      <c r="D42" s="198" t="s">
        <v>806</v>
      </c>
      <c r="E42" s="1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93"/>
      <c r="G42" s="1293"/>
      <c r="H42" s="1293"/>
      <c r="I42" s="1293"/>
      <c r="M42" s="11">
        <v>25</v>
      </c>
    </row>
    <row r="43" spans="1:13" ht="22.5" hidden="1" customHeight="1">
      <c r="A43" s="506" t="s">
        <v>83</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917" hidden="1" customWidth="1"/>
    <col min="3" max="3" width="9.125" style="4" hidden="1" customWidth="1"/>
    <col min="4" max="4" width="3" style="29" customWidth="1"/>
    <col min="5" max="5" width="6" style="11" customWidth="1"/>
    <col min="6" max="6" width="46.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6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47"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1146</v>
      </c>
      <c r="D3" s="29"/>
      <c r="E3" s="607"/>
      <c r="F3" s="607"/>
      <c r="G3" s="1447"/>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47"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1148</v>
      </c>
      <c r="D6" s="29"/>
      <c r="E6" s="607"/>
      <c r="F6" s="607"/>
      <c r="G6" s="1447"/>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3" customHeight="1">
      <c r="D13" s="28"/>
      <c r="E13" s="10"/>
      <c r="F13" s="10"/>
      <c r="G13" s="10"/>
      <c r="H13" s="10"/>
      <c r="I13" s="10"/>
      <c r="J13" s="10"/>
      <c r="K13" s="10"/>
      <c r="L13" s="20"/>
      <c r="M13" s="20"/>
      <c r="AH13" s="11">
        <v>6</v>
      </c>
    </row>
    <row r="14" spans="1:34" ht="14.7" customHeight="1">
      <c r="D14" s="28"/>
      <c r="E14" s="1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73"/>
      <c r="G14" s="1473"/>
      <c r="H14" s="1473"/>
      <c r="I14" s="1473"/>
      <c r="J14" s="1473"/>
      <c r="K14" s="1473"/>
      <c r="L14" s="1473"/>
      <c r="M14" s="59"/>
      <c r="AH14" s="11">
        <v>14</v>
      </c>
    </row>
    <row r="15" spans="1:34" ht="6.3"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86">
        <f>IF(TITLE_DATE_PR_CHANGE="",IF(TITLE_DATE_PR="","",TITLE_DATE_PR),TITLE_DATE_PR_CHANGE)</f>
        <v>45999</v>
      </c>
      <c r="H16" s="1286"/>
      <c r="I16" s="1286"/>
      <c r="J16" s="1286"/>
      <c r="K16" s="1286"/>
      <c r="L16" s="128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87" t="str">
        <f>IF(TITLE_NUMBER_PR_CHANGE="",IF(TITLE_NUMBER_PR="","",TITLE_NUMBER_PR),TITLE_NUMBER_PR_CHANGE)</f>
        <v>94-нп</v>
      </c>
      <c r="H17" s="1287"/>
      <c r="I17" s="1287"/>
      <c r="J17" s="1287"/>
      <c r="K17" s="1287"/>
      <c r="L17" s="1287"/>
      <c r="M17" s="196"/>
      <c r="AH17" s="11">
        <v>23</v>
      </c>
    </row>
    <row r="18" spans="1:34" ht="14.7" customHeight="1">
      <c r="D18" s="28"/>
      <c r="E18" s="10"/>
      <c r="F18" s="14"/>
      <c r="G18" s="14"/>
      <c r="H18" s="14"/>
      <c r="I18" s="14"/>
      <c r="J18" s="14"/>
      <c r="K18" s="14"/>
      <c r="L18" s="435"/>
      <c r="M18" s="101"/>
      <c r="AH18" s="11">
        <v>14</v>
      </c>
    </row>
    <row r="19" spans="1:34" ht="22.05" customHeight="1">
      <c r="D19" s="28"/>
      <c r="E19" s="1255" t="s">
        <v>304</v>
      </c>
      <c r="F19" s="1255"/>
      <c r="G19" s="1255"/>
      <c r="H19" s="1255"/>
      <c r="I19" s="1255"/>
      <c r="J19" s="1255"/>
      <c r="K19" s="1255"/>
      <c r="L19" s="1255"/>
      <c r="M19" s="1421" t="s">
        <v>305</v>
      </c>
      <c r="AH19" s="11">
        <v>21</v>
      </c>
    </row>
    <row r="20" spans="1:34" ht="22.05" customHeight="1">
      <c r="D20" s="28"/>
      <c r="E20" s="1311" t="s">
        <v>89</v>
      </c>
      <c r="F20" s="1261" t="s">
        <v>123</v>
      </c>
      <c r="G20" s="1261" t="s">
        <v>124</v>
      </c>
      <c r="H20" s="1418" t="s">
        <v>1149</v>
      </c>
      <c r="I20" s="1419"/>
      <c r="J20" s="1449"/>
      <c r="K20" s="1261" t="s">
        <v>307</v>
      </c>
      <c r="L20" s="1261" t="s">
        <v>394</v>
      </c>
      <c r="M20" s="1421"/>
      <c r="AH20" s="11">
        <v>21</v>
      </c>
    </row>
    <row r="21" spans="1:34" ht="22.05" customHeight="1">
      <c r="D21" s="28"/>
      <c r="E21" s="1313"/>
      <c r="F21" s="1262"/>
      <c r="G21" s="1262"/>
      <c r="H21" s="1260" t="s">
        <v>1150</v>
      </c>
      <c r="I21" s="1274"/>
      <c r="J21" s="39" t="s">
        <v>1151</v>
      </c>
      <c r="K21" s="1262"/>
      <c r="L21" s="1262"/>
      <c r="M21" s="1421"/>
      <c r="AH21" s="11">
        <v>21</v>
      </c>
    </row>
    <row r="22" spans="1:34" ht="12.75" customHeight="1">
      <c r="D22" s="28"/>
      <c r="E22" s="22"/>
      <c r="F22" s="22"/>
      <c r="G22" s="22"/>
      <c r="H22" s="1475"/>
      <c r="I22" s="1475"/>
      <c r="J22" s="22"/>
      <c r="K22" s="22"/>
      <c r="L22" s="22"/>
      <c r="M22" s="22"/>
      <c r="AH22" s="11">
        <v>12</v>
      </c>
    </row>
    <row r="23" spans="1:34" ht="19.95" customHeight="1">
      <c r="A23" s="34"/>
      <c r="B23" s="34"/>
      <c r="D23" s="28"/>
      <c r="E23" s="1009" t="s">
        <v>110</v>
      </c>
      <c r="F23" s="1476" t="str">
        <f>"Предлагаемый метод регулирования"&amp;IF(TEMPLATE_SPHERE="HEAT"," в сфере "&amp;TEMPLATE_SPHERE_RUS,"")</f>
        <v>Предлагаемый метод регулирования</v>
      </c>
      <c r="G23" s="1476"/>
      <c r="H23" s="1471"/>
      <c r="I23" s="1471"/>
      <c r="J23" s="1471"/>
      <c r="K23" s="1476" t="s">
        <v>310</v>
      </c>
      <c r="L23" s="1471"/>
      <c r="M23" s="153"/>
      <c r="N23" s="196"/>
      <c r="AH23" s="11">
        <v>19</v>
      </c>
    </row>
    <row r="24" spans="1:34" ht="60.75" hidden="1" customHeight="1">
      <c r="A24" s="34" t="s">
        <v>156</v>
      </c>
      <c r="B24" s="34" t="s">
        <v>157</v>
      </c>
      <c r="D24" s="1474"/>
      <c r="E24" s="1250"/>
      <c r="F24" s="1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7" t="str">
        <f>INDEX(PT_DIFFERENTIATION_NTAR,MATCH(B24,PT_DIFFERENTIATION_NTAR_ID,0))</f>
        <v/>
      </c>
      <c r="H24" s="763"/>
      <c r="I24" s="948"/>
      <c r="J24" s="974"/>
      <c r="K24" s="1008"/>
      <c r="L24" s="763" t="s">
        <v>310</v>
      </c>
      <c r="M24"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74"/>
      <c r="E25" s="1250"/>
      <c r="F25" s="1477"/>
      <c r="G25" s="1447"/>
      <c r="H25" s="823"/>
      <c r="I25" s="52" t="s">
        <v>1147</v>
      </c>
      <c r="J25" s="111"/>
      <c r="K25" s="823"/>
      <c r="L25" s="108"/>
      <c r="M25" s="1205"/>
      <c r="N25" s="196"/>
      <c r="O25" s="69"/>
      <c r="P25" s="69"/>
      <c r="AH25" s="11">
        <v>0</v>
      </c>
    </row>
    <row r="26" spans="1:34" ht="0.75" hidden="1" customHeight="1">
      <c r="A26" s="34"/>
      <c r="B26" s="34"/>
      <c r="C26" s="4" t="s">
        <v>1152</v>
      </c>
      <c r="D26" s="1474"/>
      <c r="E26" s="1250"/>
      <c r="F26" s="1411"/>
      <c r="G26" s="227"/>
      <c r="H26" s="823"/>
      <c r="I26" s="52"/>
      <c r="J26" s="111"/>
      <c r="K26" s="823"/>
      <c r="L26" s="108"/>
      <c r="M26" s="1205"/>
      <c r="N26" s="196"/>
      <c r="AH26" s="11">
        <v>0</v>
      </c>
    </row>
    <row r="27" spans="1:34" s="11" customFormat="1" ht="45" hidden="1" customHeight="1">
      <c r="A27" s="34" t="s">
        <v>161</v>
      </c>
      <c r="B27" s="34" t="s">
        <v>162</v>
      </c>
      <c r="C27" s="4"/>
      <c r="D27" s="1472"/>
      <c r="E27" s="1478"/>
      <c r="F27" s="1479" t="str">
        <f>INDEX(PT_DIFFERENTIATION_VTAR,MATCH(A27,PT_DIFFERENTIATION_VTAR_ID,0))</f>
        <v/>
      </c>
      <c r="G27" s="1447" t="str">
        <f>INDEX(PT_DIFFERENTIATION_NTAR,MATCH(B27,PT_DIFFERENTIATION_NTAR_ID,0))</f>
        <v/>
      </c>
      <c r="H27" s="763"/>
      <c r="I27" s="948"/>
      <c r="J27" s="974"/>
      <c r="K27" s="1008"/>
      <c r="L27" s="763" t="s">
        <v>310</v>
      </c>
      <c r="M27" s="1205"/>
      <c r="N27" s="196"/>
      <c r="O27" s="69"/>
      <c r="P27" s="69"/>
      <c r="AH27" s="11">
        <v>0</v>
      </c>
    </row>
    <row r="28" spans="1:34" s="11" customFormat="1" ht="18.75" hidden="1" customHeight="1">
      <c r="A28" s="34"/>
      <c r="B28" s="34"/>
      <c r="C28" s="4" t="s">
        <v>1146</v>
      </c>
      <c r="D28" s="1472"/>
      <c r="E28" s="1478"/>
      <c r="F28" s="1479"/>
      <c r="G28" s="1447"/>
      <c r="H28" s="823"/>
      <c r="I28" s="52" t="s">
        <v>1147</v>
      </c>
      <c r="J28" s="111"/>
      <c r="K28" s="823"/>
      <c r="L28" s="108"/>
      <c r="M28" s="1205"/>
      <c r="N28" s="196"/>
      <c r="O28" s="69"/>
      <c r="P28" s="69"/>
      <c r="AH28" s="11">
        <v>0</v>
      </c>
    </row>
    <row r="29" spans="1:34" s="11" customFormat="1" ht="0.75" hidden="1" customHeight="1">
      <c r="A29" s="34"/>
      <c r="B29" s="34"/>
      <c r="C29" s="4" t="s">
        <v>1152</v>
      </c>
      <c r="D29" s="1472"/>
      <c r="E29" s="1250"/>
      <c r="F29" s="1411"/>
      <c r="G29" s="227"/>
      <c r="H29" s="823"/>
      <c r="I29" s="52"/>
      <c r="J29" s="111"/>
      <c r="K29" s="823"/>
      <c r="L29" s="108"/>
      <c r="M29" s="1205"/>
      <c r="N29" s="196"/>
      <c r="O29" s="69"/>
      <c r="P29" s="69"/>
      <c r="AH29" s="11">
        <v>0</v>
      </c>
    </row>
    <row r="30" spans="1:34" s="11" customFormat="1" ht="45" hidden="1" customHeight="1">
      <c r="A30" s="34" t="s">
        <v>168</v>
      </c>
      <c r="B30" s="34" t="s">
        <v>169</v>
      </c>
      <c r="C30" s="4"/>
      <c r="D30" s="1472"/>
      <c r="E30" s="1250"/>
      <c r="F30" s="141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7" t="str">
        <f>INDEX(PT_DIFFERENTIATION_NTAR,MATCH(B30,PT_DIFFERENTIATION_NTAR_ID,0))</f>
        <v/>
      </c>
      <c r="H30" s="763"/>
      <c r="I30" s="948"/>
      <c r="J30" s="974"/>
      <c r="K30" s="1008"/>
      <c r="L30" s="763" t="s">
        <v>310</v>
      </c>
      <c r="M30" s="1205"/>
      <c r="N30" s="196"/>
      <c r="O30" s="69"/>
      <c r="P30" s="69"/>
      <c r="AH30" s="11">
        <v>0</v>
      </c>
    </row>
    <row r="31" spans="1:34" s="11" customFormat="1" ht="18.75" hidden="1" customHeight="1">
      <c r="A31" s="34"/>
      <c r="B31" s="34"/>
      <c r="C31" s="4" t="s">
        <v>1146</v>
      </c>
      <c r="D31" s="1472"/>
      <c r="E31" s="1250"/>
      <c r="F31" s="1411"/>
      <c r="G31" s="1447"/>
      <c r="H31" s="823"/>
      <c r="I31" s="52" t="s">
        <v>1147</v>
      </c>
      <c r="J31" s="111"/>
      <c r="K31" s="823"/>
      <c r="L31" s="108"/>
      <c r="M31" s="1205"/>
      <c r="N31" s="196"/>
      <c r="O31" s="69"/>
      <c r="P31" s="69"/>
      <c r="AH31" s="11">
        <v>0</v>
      </c>
    </row>
    <row r="32" spans="1:34" s="11" customFormat="1" ht="0.75" hidden="1" customHeight="1">
      <c r="A32" s="34"/>
      <c r="B32" s="34"/>
      <c r="C32" s="4" t="s">
        <v>1152</v>
      </c>
      <c r="D32" s="1472"/>
      <c r="E32" s="1250"/>
      <c r="F32" s="1411"/>
      <c r="G32" s="227"/>
      <c r="H32" s="823"/>
      <c r="I32" s="52"/>
      <c r="J32" s="111"/>
      <c r="K32" s="823"/>
      <c r="L32" s="108"/>
      <c r="M32" s="1205"/>
      <c r="N32" s="196"/>
      <c r="O32" s="69"/>
      <c r="P32" s="69"/>
      <c r="AH32" s="11">
        <v>0</v>
      </c>
    </row>
    <row r="33" spans="1:34" s="11" customFormat="1" ht="45" hidden="1" customHeight="1">
      <c r="A33" s="34" t="s">
        <v>174</v>
      </c>
      <c r="B33" s="34" t="s">
        <v>175</v>
      </c>
      <c r="C33" s="4"/>
      <c r="D33" s="1472"/>
      <c r="E33" s="1250"/>
      <c r="F33" s="141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7" t="str">
        <f>INDEX(PT_DIFFERENTIATION_NTAR,MATCH(B33,PT_DIFFERENTIATION_NTAR_ID,0))</f>
        <v/>
      </c>
      <c r="H33" s="763"/>
      <c r="I33" s="948"/>
      <c r="J33" s="974"/>
      <c r="K33" s="1008"/>
      <c r="L33" s="763" t="s">
        <v>310</v>
      </c>
      <c r="M33" s="1205"/>
      <c r="N33" s="196"/>
      <c r="O33" s="69"/>
      <c r="P33" s="69"/>
      <c r="AH33" s="11">
        <v>0</v>
      </c>
    </row>
    <row r="34" spans="1:34" s="11" customFormat="1" ht="18.75" hidden="1" customHeight="1">
      <c r="A34" s="34"/>
      <c r="B34" s="34"/>
      <c r="C34" s="4" t="s">
        <v>1146</v>
      </c>
      <c r="D34" s="1472"/>
      <c r="E34" s="1250"/>
      <c r="F34" s="1411"/>
      <c r="G34" s="1447"/>
      <c r="H34" s="823"/>
      <c r="I34" s="52" t="s">
        <v>1147</v>
      </c>
      <c r="J34" s="111"/>
      <c r="K34" s="823"/>
      <c r="L34" s="108"/>
      <c r="M34" s="1205"/>
      <c r="N34" s="196"/>
      <c r="O34" s="69"/>
      <c r="P34" s="69"/>
      <c r="AH34" s="11">
        <v>0</v>
      </c>
    </row>
    <row r="35" spans="1:34" s="11" customFormat="1" ht="0.75" hidden="1" customHeight="1">
      <c r="A35" s="34"/>
      <c r="B35" s="34"/>
      <c r="C35" s="4" t="s">
        <v>1152</v>
      </c>
      <c r="D35" s="1472"/>
      <c r="E35" s="1250"/>
      <c r="F35" s="1411"/>
      <c r="G35" s="227"/>
      <c r="H35" s="823"/>
      <c r="I35" s="52"/>
      <c r="J35" s="111"/>
      <c r="K35" s="823"/>
      <c r="L35" s="108"/>
      <c r="M35" s="1205"/>
      <c r="N35" s="196"/>
      <c r="O35" s="69"/>
      <c r="P35" s="69"/>
      <c r="AH35" s="11">
        <v>0</v>
      </c>
    </row>
    <row r="36" spans="1:34" s="11" customFormat="1" ht="18.75" hidden="1" customHeight="1">
      <c r="A36" s="34" t="s">
        <v>180</v>
      </c>
      <c r="B36" s="34" t="s">
        <v>181</v>
      </c>
      <c r="C36" s="4"/>
      <c r="D36" s="1472"/>
      <c r="E36" s="1250"/>
      <c r="F36" s="1411" t="str">
        <f>INDEX(PT_DIFFERENTIATION_VTAR,MATCH(A36,PT_DIFFERENTIATION_VTAR_ID,0))</f>
        <v>Тарифы на услуги по передаче тепловой энергии</v>
      </c>
      <c r="G36" s="1447" t="str">
        <f>INDEX(PT_DIFFERENTIATION_NTAR,MATCH(B36,PT_DIFFERENTIATION_NTAR_ID,0))</f>
        <v/>
      </c>
      <c r="H36" s="763"/>
      <c r="I36" s="948"/>
      <c r="J36" s="974"/>
      <c r="K36" s="1008"/>
      <c r="L36" s="763" t="s">
        <v>310</v>
      </c>
      <c r="M36" s="1205"/>
      <c r="N36" s="196"/>
      <c r="O36" s="69"/>
      <c r="P36" s="69"/>
      <c r="AH36" s="11">
        <v>0</v>
      </c>
    </row>
    <row r="37" spans="1:34" s="11" customFormat="1" ht="18.75" hidden="1" customHeight="1">
      <c r="A37" s="34"/>
      <c r="B37" s="34"/>
      <c r="C37" s="4" t="s">
        <v>1146</v>
      </c>
      <c r="D37" s="1472"/>
      <c r="E37" s="1250"/>
      <c r="F37" s="1411"/>
      <c r="G37" s="1447"/>
      <c r="H37" s="823"/>
      <c r="I37" s="52" t="s">
        <v>1147</v>
      </c>
      <c r="J37" s="111"/>
      <c r="K37" s="823"/>
      <c r="L37" s="108"/>
      <c r="M37" s="1205"/>
      <c r="N37" s="196"/>
      <c r="O37" s="69"/>
      <c r="P37" s="69"/>
      <c r="AH37" s="11">
        <v>0</v>
      </c>
    </row>
    <row r="38" spans="1:34" s="11" customFormat="1" ht="0.75" hidden="1" customHeight="1">
      <c r="A38" s="34"/>
      <c r="B38" s="34"/>
      <c r="C38" s="4" t="s">
        <v>1152</v>
      </c>
      <c r="D38" s="1472"/>
      <c r="E38" s="1250"/>
      <c r="F38" s="1411"/>
      <c r="G38" s="227"/>
      <c r="H38" s="823"/>
      <c r="I38" s="52"/>
      <c r="J38" s="111"/>
      <c r="K38" s="823"/>
      <c r="L38" s="108"/>
      <c r="M38" s="1205"/>
      <c r="N38" s="196"/>
      <c r="O38" s="69"/>
      <c r="P38" s="69"/>
      <c r="AH38" s="11">
        <v>0</v>
      </c>
    </row>
    <row r="39" spans="1:34" s="11" customFormat="1" ht="18.75" hidden="1" customHeight="1">
      <c r="A39" s="34" t="s">
        <v>186</v>
      </c>
      <c r="B39" s="34" t="s">
        <v>187</v>
      </c>
      <c r="C39" s="4"/>
      <c r="D39" s="1472"/>
      <c r="E39" s="1250"/>
      <c r="F39" s="1411" t="str">
        <f>INDEX(PT_DIFFERENTIATION_VTAR,MATCH(A39,PT_DIFFERENTIATION_VTAR_ID,0))</f>
        <v>Тарифы на услуги по передаче теплоносителя</v>
      </c>
      <c r="G39" s="1447" t="str">
        <f>INDEX(PT_DIFFERENTIATION_NTAR,MATCH(B39,PT_DIFFERENTIATION_NTAR_ID,0))</f>
        <v/>
      </c>
      <c r="H39" s="763"/>
      <c r="I39" s="948"/>
      <c r="J39" s="974"/>
      <c r="K39" s="1008"/>
      <c r="L39" s="763" t="s">
        <v>310</v>
      </c>
      <c r="M39" s="1205"/>
      <c r="N39" s="196"/>
      <c r="O39" s="69"/>
      <c r="P39" s="69"/>
      <c r="AH39" s="11">
        <v>0</v>
      </c>
    </row>
    <row r="40" spans="1:34" s="11" customFormat="1" ht="18.75" hidden="1" customHeight="1">
      <c r="A40" s="34"/>
      <c r="B40" s="34"/>
      <c r="C40" s="4" t="s">
        <v>1146</v>
      </c>
      <c r="D40" s="1472"/>
      <c r="E40" s="1250"/>
      <c r="F40" s="1411"/>
      <c r="G40" s="1447"/>
      <c r="H40" s="823"/>
      <c r="I40" s="52" t="s">
        <v>1147</v>
      </c>
      <c r="J40" s="111"/>
      <c r="K40" s="823"/>
      <c r="L40" s="108"/>
      <c r="M40" s="1205"/>
      <c r="N40" s="196"/>
      <c r="O40" s="69"/>
      <c r="P40" s="69"/>
      <c r="AH40" s="11">
        <v>0</v>
      </c>
    </row>
    <row r="41" spans="1:34" s="11" customFormat="1" ht="0.75" hidden="1" customHeight="1">
      <c r="A41" s="34"/>
      <c r="B41" s="34"/>
      <c r="C41" s="4" t="s">
        <v>1152</v>
      </c>
      <c r="D41" s="1472"/>
      <c r="E41" s="1250"/>
      <c r="F41" s="1411"/>
      <c r="G41" s="227"/>
      <c r="H41" s="823"/>
      <c r="I41" s="52"/>
      <c r="J41" s="111"/>
      <c r="K41" s="823"/>
      <c r="L41" s="108"/>
      <c r="M41" s="1205"/>
      <c r="N41" s="196"/>
      <c r="O41" s="69"/>
      <c r="P41" s="69"/>
      <c r="AH41" s="11">
        <v>0</v>
      </c>
    </row>
    <row r="42" spans="1:34" s="11" customFormat="1" ht="18.75" hidden="1" customHeight="1">
      <c r="A42" s="34" t="s">
        <v>192</v>
      </c>
      <c r="B42" s="34" t="s">
        <v>193</v>
      </c>
      <c r="C42" s="4"/>
      <c r="D42" s="1472"/>
      <c r="E42" s="1250"/>
      <c r="F42" s="1411"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7" t="str">
        <f>INDEX(PT_DIFFERENTIATION_NTAR,MATCH(B42,PT_DIFFERENTIATION_NTAR_ID,0))</f>
        <v/>
      </c>
      <c r="H42" s="763"/>
      <c r="I42" s="948"/>
      <c r="J42" s="974"/>
      <c r="K42" s="1008"/>
      <c r="L42" s="763" t="s">
        <v>310</v>
      </c>
      <c r="M42" s="1205"/>
      <c r="N42" s="196"/>
      <c r="O42" s="69"/>
      <c r="P42" s="69"/>
      <c r="AH42" s="11">
        <v>0</v>
      </c>
    </row>
    <row r="43" spans="1:34" s="11" customFormat="1" ht="18.75" hidden="1" customHeight="1">
      <c r="A43" s="34"/>
      <c r="B43" s="34"/>
      <c r="C43" s="4" t="s">
        <v>1146</v>
      </c>
      <c r="D43" s="1472"/>
      <c r="E43" s="1250"/>
      <c r="F43" s="1411"/>
      <c r="G43" s="1447"/>
      <c r="H43" s="823"/>
      <c r="I43" s="52" t="s">
        <v>1147</v>
      </c>
      <c r="J43" s="111"/>
      <c r="K43" s="823"/>
      <c r="L43" s="108"/>
      <c r="M43" s="1205"/>
      <c r="N43" s="196"/>
      <c r="O43" s="69"/>
      <c r="P43" s="69"/>
      <c r="AH43" s="11">
        <v>0</v>
      </c>
    </row>
    <row r="44" spans="1:34" s="11" customFormat="1" ht="0.75" hidden="1" customHeight="1">
      <c r="A44" s="34"/>
      <c r="B44" s="34"/>
      <c r="C44" s="4" t="s">
        <v>1152</v>
      </c>
      <c r="D44" s="1472"/>
      <c r="E44" s="1250"/>
      <c r="F44" s="1411"/>
      <c r="G44" s="227"/>
      <c r="H44" s="823"/>
      <c r="I44" s="52"/>
      <c r="J44" s="111"/>
      <c r="K44" s="823"/>
      <c r="L44" s="108"/>
      <c r="M44" s="1205"/>
      <c r="N44" s="196"/>
      <c r="O44" s="69"/>
      <c r="P44" s="69"/>
      <c r="AH44" s="11">
        <v>0</v>
      </c>
    </row>
    <row r="45" spans="1:34" s="11" customFormat="1" ht="18.75" hidden="1" customHeight="1">
      <c r="A45" s="34" t="s">
        <v>198</v>
      </c>
      <c r="B45" s="34" t="s">
        <v>199</v>
      </c>
      <c r="C45" s="4"/>
      <c r="D45" s="1472"/>
      <c r="E45" s="1250"/>
      <c r="F45" s="1411" t="str">
        <f>INDEX(PT_DIFFERENTIATION_VTAR,MATCH(A45,PT_DIFFERENTIATION_VTAR_ID,0))</f>
        <v>Плата за подключение (технологическое присоединение) к системе теплоснабжения</v>
      </c>
      <c r="G45" s="1447" t="str">
        <f>INDEX(PT_DIFFERENTIATION_NTAR,MATCH(B45,PT_DIFFERENTIATION_NTAR_ID,0))</f>
        <v/>
      </c>
      <c r="H45" s="763"/>
      <c r="I45" s="948"/>
      <c r="J45" s="974"/>
      <c r="K45" s="1008"/>
      <c r="L45" s="763" t="s">
        <v>310</v>
      </c>
      <c r="M45" s="1205"/>
      <c r="N45" s="196"/>
      <c r="O45" s="69"/>
      <c r="P45" s="69"/>
      <c r="AH45" s="11">
        <v>0</v>
      </c>
    </row>
    <row r="46" spans="1:34" s="11" customFormat="1" ht="18.75" hidden="1" customHeight="1">
      <c r="A46" s="34"/>
      <c r="B46" s="34"/>
      <c r="C46" s="4" t="s">
        <v>1146</v>
      </c>
      <c r="D46" s="1472"/>
      <c r="E46" s="1250"/>
      <c r="F46" s="1411"/>
      <c r="G46" s="1447"/>
      <c r="H46" s="823"/>
      <c r="I46" s="52" t="s">
        <v>1147</v>
      </c>
      <c r="J46" s="111"/>
      <c r="K46" s="823"/>
      <c r="L46" s="108"/>
      <c r="M46" s="1205"/>
      <c r="N46" s="196"/>
      <c r="O46" s="69"/>
      <c r="P46" s="69"/>
      <c r="AH46" s="11">
        <v>0</v>
      </c>
    </row>
    <row r="47" spans="1:34" s="11" customFormat="1" ht="0.75" hidden="1" customHeight="1">
      <c r="A47" s="34"/>
      <c r="B47" s="34"/>
      <c r="C47" s="4" t="s">
        <v>1152</v>
      </c>
      <c r="D47" s="1472"/>
      <c r="E47" s="1250"/>
      <c r="F47" s="1411"/>
      <c r="G47" s="227"/>
      <c r="H47" s="823"/>
      <c r="I47" s="52"/>
      <c r="J47" s="111"/>
      <c r="K47" s="823"/>
      <c r="L47" s="108"/>
      <c r="M47" s="1205"/>
      <c r="N47" s="196"/>
      <c r="O47" s="69"/>
      <c r="P47" s="69"/>
      <c r="AH47" s="11">
        <v>0</v>
      </c>
    </row>
    <row r="48" spans="1:34" s="11" customFormat="1" ht="18.75" hidden="1" customHeight="1">
      <c r="A48" s="34" t="s">
        <v>204</v>
      </c>
      <c r="B48" s="34" t="s">
        <v>205</v>
      </c>
      <c r="C48" s="4"/>
      <c r="D48" s="1472"/>
      <c r="E48" s="1250"/>
      <c r="F48" s="1411" t="str">
        <f>INDEX(PT_DIFFERENTIATION_VTAR,MATCH(A48,PT_DIFFERENTIATION_VTAR_ID,0))</f>
        <v>Плата за подключение (технологическое присоединение) к системе теплоснабжения (индивидуальная)</v>
      </c>
      <c r="G48" s="1447" t="str">
        <f>INDEX(PT_DIFFERENTIATION_NTAR,MATCH(B48,PT_DIFFERENTIATION_NTAR_ID,0))</f>
        <v/>
      </c>
      <c r="H48" s="763"/>
      <c r="I48" s="948"/>
      <c r="J48" s="974"/>
      <c r="K48" s="1008"/>
      <c r="L48" s="763" t="s">
        <v>310</v>
      </c>
      <c r="M48" s="1205"/>
      <c r="N48" s="196"/>
      <c r="O48" s="69"/>
      <c r="P48" s="69"/>
      <c r="AH48" s="11">
        <v>0</v>
      </c>
    </row>
    <row r="49" spans="1:34" s="11" customFormat="1" ht="18.75" hidden="1" customHeight="1">
      <c r="A49" s="34"/>
      <c r="B49" s="34"/>
      <c r="C49" s="4" t="s">
        <v>1146</v>
      </c>
      <c r="D49" s="1472"/>
      <c r="E49" s="1250"/>
      <c r="F49" s="1411"/>
      <c r="G49" s="1447"/>
      <c r="H49" s="823"/>
      <c r="I49" s="52" t="s">
        <v>1147</v>
      </c>
      <c r="J49" s="111"/>
      <c r="K49" s="823"/>
      <c r="L49" s="108"/>
      <c r="M49" s="1205"/>
      <c r="N49" s="196"/>
      <c r="O49" s="69"/>
      <c r="P49" s="69"/>
      <c r="AH49" s="11">
        <v>0</v>
      </c>
    </row>
    <row r="50" spans="1:34" s="11" customFormat="1" ht="0.75" hidden="1" customHeight="1">
      <c r="A50" s="34"/>
      <c r="B50" s="34"/>
      <c r="C50" s="4" t="s">
        <v>1152</v>
      </c>
      <c r="D50" s="1472"/>
      <c r="E50" s="1250"/>
      <c r="F50" s="1411"/>
      <c r="G50" s="227"/>
      <c r="H50" s="823"/>
      <c r="I50" s="52"/>
      <c r="J50" s="111"/>
      <c r="K50" s="823"/>
      <c r="L50" s="108"/>
      <c r="M50" s="1205"/>
      <c r="N50" s="196"/>
      <c r="O50" s="69"/>
      <c r="P50" s="69"/>
      <c r="AH50" s="11">
        <v>0</v>
      </c>
    </row>
    <row r="51" spans="1:34" s="11" customFormat="1" ht="18.75" hidden="1" customHeight="1">
      <c r="A51" s="34" t="s">
        <v>224</v>
      </c>
      <c r="B51" s="34" t="s">
        <v>225</v>
      </c>
      <c r="C51" s="4"/>
      <c r="D51" s="1472"/>
      <c r="E51" s="1250"/>
      <c r="F51" s="1411" t="str">
        <f>INDEX(PT_DIFFERENTIATION_VTAR,MATCH(A51,PT_DIFFERENTIATION_VTAR_ID,0))</f>
        <v>Тариф на питьевую воду (питьевое водоснабжение)</v>
      </c>
      <c r="G51" s="1447" t="str">
        <f>INDEX(PT_DIFFERENTIATION_NTAR,MATCH(B51,PT_DIFFERENTIATION_NTAR_ID,0))</f>
        <v/>
      </c>
      <c r="H51" s="763"/>
      <c r="I51" s="948"/>
      <c r="J51" s="974"/>
      <c r="K51" s="1008"/>
      <c r="L51" s="763" t="s">
        <v>310</v>
      </c>
      <c r="M51" s="1205"/>
      <c r="N51" s="196"/>
      <c r="O51" s="69"/>
      <c r="P51" s="69"/>
      <c r="AH51" s="11">
        <v>0</v>
      </c>
    </row>
    <row r="52" spans="1:34" s="11" customFormat="1" ht="18.75" hidden="1" customHeight="1">
      <c r="A52" s="34"/>
      <c r="B52" s="34"/>
      <c r="C52" s="4" t="s">
        <v>1146</v>
      </c>
      <c r="D52" s="1472"/>
      <c r="E52" s="1250"/>
      <c r="F52" s="1411"/>
      <c r="G52" s="1447"/>
      <c r="H52" s="823"/>
      <c r="I52" s="52" t="s">
        <v>1147</v>
      </c>
      <c r="J52" s="111"/>
      <c r="K52" s="823"/>
      <c r="L52" s="108"/>
      <c r="M52" s="1205"/>
      <c r="N52" s="196"/>
      <c r="O52" s="69"/>
      <c r="P52" s="69"/>
      <c r="AH52" s="11">
        <v>0</v>
      </c>
    </row>
    <row r="53" spans="1:34" s="11" customFormat="1" ht="0.75" hidden="1" customHeight="1">
      <c r="A53" s="34"/>
      <c r="B53" s="34"/>
      <c r="C53" s="4" t="s">
        <v>1152</v>
      </c>
      <c r="D53" s="1472"/>
      <c r="E53" s="1250"/>
      <c r="F53" s="1411"/>
      <c r="G53" s="227"/>
      <c r="H53" s="823"/>
      <c r="I53" s="52"/>
      <c r="J53" s="111"/>
      <c r="K53" s="823"/>
      <c r="L53" s="108"/>
      <c r="M53" s="1205"/>
      <c r="N53" s="196"/>
      <c r="O53" s="69"/>
      <c r="P53" s="69"/>
      <c r="AH53" s="11">
        <v>0</v>
      </c>
    </row>
    <row r="54" spans="1:34" s="11" customFormat="1" ht="18.75" hidden="1" customHeight="1">
      <c r="A54" s="34" t="s">
        <v>229</v>
      </c>
      <c r="B54" s="34" t="s">
        <v>230</v>
      </c>
      <c r="C54" s="4"/>
      <c r="D54" s="1472"/>
      <c r="E54" s="1250"/>
      <c r="F54" s="1411" t="str">
        <f>INDEX(PT_DIFFERENTIATION_VTAR,MATCH(A54,PT_DIFFERENTIATION_VTAR_ID,0))</f>
        <v>Тариф на техническую воду</v>
      </c>
      <c r="G54" s="1447" t="str">
        <f>INDEX(PT_DIFFERENTIATION_NTAR,MATCH(B54,PT_DIFFERENTIATION_NTAR_ID,0))</f>
        <v/>
      </c>
      <c r="H54" s="763"/>
      <c r="I54" s="948"/>
      <c r="J54" s="974"/>
      <c r="K54" s="1008"/>
      <c r="L54" s="763" t="s">
        <v>310</v>
      </c>
      <c r="M54" s="1205"/>
      <c r="N54" s="196"/>
      <c r="O54" s="69"/>
      <c r="P54" s="69"/>
      <c r="AH54" s="11">
        <v>0</v>
      </c>
    </row>
    <row r="55" spans="1:34" s="11" customFormat="1" ht="18.75" hidden="1" customHeight="1">
      <c r="A55" s="34"/>
      <c r="B55" s="34"/>
      <c r="C55" s="4" t="s">
        <v>1146</v>
      </c>
      <c r="D55" s="1472"/>
      <c r="E55" s="1250"/>
      <c r="F55" s="1411"/>
      <c r="G55" s="1447"/>
      <c r="H55" s="823"/>
      <c r="I55" s="52" t="s">
        <v>1147</v>
      </c>
      <c r="J55" s="111"/>
      <c r="K55" s="823"/>
      <c r="L55" s="108"/>
      <c r="M55" s="1205"/>
      <c r="N55" s="196"/>
      <c r="O55" s="69"/>
      <c r="P55" s="69"/>
      <c r="AH55" s="11">
        <v>0</v>
      </c>
    </row>
    <row r="56" spans="1:34" s="11" customFormat="1" ht="0.75" hidden="1" customHeight="1">
      <c r="A56" s="34"/>
      <c r="B56" s="34"/>
      <c r="C56" s="4" t="s">
        <v>1152</v>
      </c>
      <c r="D56" s="1472"/>
      <c r="E56" s="1250"/>
      <c r="F56" s="1411"/>
      <c r="G56" s="227"/>
      <c r="H56" s="823"/>
      <c r="I56" s="52"/>
      <c r="J56" s="111"/>
      <c r="K56" s="823"/>
      <c r="L56" s="108"/>
      <c r="M56" s="1205"/>
      <c r="N56" s="196"/>
      <c r="O56" s="69"/>
      <c r="P56" s="69"/>
      <c r="AH56" s="11">
        <v>0</v>
      </c>
    </row>
    <row r="57" spans="1:34" s="11" customFormat="1" ht="18.75" hidden="1" customHeight="1">
      <c r="A57" s="34" t="s">
        <v>234</v>
      </c>
      <c r="B57" s="34" t="s">
        <v>235</v>
      </c>
      <c r="C57" s="4"/>
      <c r="D57" s="1472"/>
      <c r="E57" s="1250"/>
      <c r="F57" s="1411" t="str">
        <f>INDEX(PT_DIFFERENTIATION_VTAR,MATCH(A57,PT_DIFFERENTIATION_VTAR_ID,0))</f>
        <v>Тариф на транспортировку воды</v>
      </c>
      <c r="G57" s="1447" t="str">
        <f>INDEX(PT_DIFFERENTIATION_NTAR,MATCH(B57,PT_DIFFERENTIATION_NTAR_ID,0))</f>
        <v/>
      </c>
      <c r="H57" s="763"/>
      <c r="I57" s="948"/>
      <c r="J57" s="974"/>
      <c r="K57" s="1008"/>
      <c r="L57" s="763" t="s">
        <v>310</v>
      </c>
      <c r="M57" s="1205"/>
      <c r="N57" s="196"/>
      <c r="O57" s="69"/>
      <c r="P57" s="69"/>
      <c r="AH57" s="11">
        <v>0</v>
      </c>
    </row>
    <row r="58" spans="1:34" s="11" customFormat="1" ht="18.75" hidden="1" customHeight="1">
      <c r="A58" s="34"/>
      <c r="B58" s="34"/>
      <c r="C58" s="4" t="s">
        <v>1146</v>
      </c>
      <c r="D58" s="1472"/>
      <c r="E58" s="1250"/>
      <c r="F58" s="1411"/>
      <c r="G58" s="1447"/>
      <c r="H58" s="823"/>
      <c r="I58" s="52" t="s">
        <v>1147</v>
      </c>
      <c r="J58" s="111"/>
      <c r="K58" s="823"/>
      <c r="L58" s="108"/>
      <c r="M58" s="1205"/>
      <c r="N58" s="196"/>
      <c r="O58" s="69"/>
      <c r="P58" s="69"/>
      <c r="AH58" s="11">
        <v>0</v>
      </c>
    </row>
    <row r="59" spans="1:34" s="11" customFormat="1" ht="0.75" hidden="1" customHeight="1">
      <c r="A59" s="34"/>
      <c r="B59" s="34"/>
      <c r="C59" s="4" t="s">
        <v>1152</v>
      </c>
      <c r="D59" s="1472"/>
      <c r="E59" s="1250"/>
      <c r="F59" s="1411"/>
      <c r="G59" s="227"/>
      <c r="H59" s="823"/>
      <c r="I59" s="52"/>
      <c r="J59" s="111"/>
      <c r="K59" s="823"/>
      <c r="L59" s="108"/>
      <c r="M59" s="1205"/>
      <c r="N59" s="196"/>
      <c r="O59" s="69"/>
      <c r="P59" s="69"/>
      <c r="AH59" s="11">
        <v>0</v>
      </c>
    </row>
    <row r="60" spans="1:34" s="11" customFormat="1" ht="18.75" hidden="1" customHeight="1">
      <c r="A60" s="34" t="s">
        <v>239</v>
      </c>
      <c r="B60" s="34" t="s">
        <v>240</v>
      </c>
      <c r="C60" s="4"/>
      <c r="D60" s="1472"/>
      <c r="E60" s="1250"/>
      <c r="F60" s="1411" t="str">
        <f>INDEX(PT_DIFFERENTIATION_VTAR,MATCH(A60,PT_DIFFERENTIATION_VTAR_ID,0))</f>
        <v>Тариф на подвоз воды</v>
      </c>
      <c r="G60" s="1447" t="str">
        <f>INDEX(PT_DIFFERENTIATION_NTAR,MATCH(B60,PT_DIFFERENTIATION_NTAR_ID,0))</f>
        <v/>
      </c>
      <c r="H60" s="763"/>
      <c r="I60" s="948"/>
      <c r="J60" s="974"/>
      <c r="K60" s="1008"/>
      <c r="L60" s="763" t="s">
        <v>310</v>
      </c>
      <c r="M60" s="1205"/>
      <c r="N60" s="196"/>
      <c r="O60" s="69"/>
      <c r="P60" s="69"/>
      <c r="AH60" s="11">
        <v>0</v>
      </c>
    </row>
    <row r="61" spans="1:34" s="11" customFormat="1" ht="18.75" hidden="1" customHeight="1">
      <c r="A61" s="34"/>
      <c r="B61" s="34"/>
      <c r="C61" s="4" t="s">
        <v>1146</v>
      </c>
      <c r="D61" s="1472"/>
      <c r="E61" s="1250"/>
      <c r="F61" s="1411"/>
      <c r="G61" s="1447"/>
      <c r="H61" s="823"/>
      <c r="I61" s="52" t="s">
        <v>1147</v>
      </c>
      <c r="J61" s="111"/>
      <c r="K61" s="823"/>
      <c r="L61" s="108"/>
      <c r="M61" s="1205"/>
      <c r="N61" s="196"/>
      <c r="O61" s="69"/>
      <c r="P61" s="69"/>
      <c r="AH61" s="11">
        <v>0</v>
      </c>
    </row>
    <row r="62" spans="1:34" s="11" customFormat="1" ht="0.75" hidden="1" customHeight="1">
      <c r="A62" s="34"/>
      <c r="B62" s="34"/>
      <c r="C62" s="4" t="s">
        <v>1152</v>
      </c>
      <c r="D62" s="1472"/>
      <c r="E62" s="1250"/>
      <c r="F62" s="1411"/>
      <c r="G62" s="227"/>
      <c r="H62" s="823"/>
      <c r="I62" s="52"/>
      <c r="J62" s="111"/>
      <c r="K62" s="823"/>
      <c r="L62" s="108"/>
      <c r="M62" s="1205"/>
      <c r="N62" s="196"/>
      <c r="O62" s="69"/>
      <c r="P62" s="69"/>
      <c r="AH62" s="11">
        <v>0</v>
      </c>
    </row>
    <row r="63" spans="1:34" s="11" customFormat="1" ht="18.75" hidden="1" customHeight="1">
      <c r="A63" s="34" t="s">
        <v>244</v>
      </c>
      <c r="B63" s="34" t="s">
        <v>245</v>
      </c>
      <c r="C63" s="4"/>
      <c r="D63" s="1472"/>
      <c r="E63" s="1250"/>
      <c r="F63" s="1411"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7" t="str">
        <f>INDEX(PT_DIFFERENTIATION_NTAR,MATCH(B63,PT_DIFFERENTIATION_NTAR_ID,0))</f>
        <v/>
      </c>
      <c r="H63" s="763"/>
      <c r="I63" s="948"/>
      <c r="J63" s="974"/>
      <c r="K63" s="1008"/>
      <c r="L63" s="763" t="s">
        <v>310</v>
      </c>
      <c r="M63" s="1205"/>
      <c r="N63" s="196"/>
      <c r="O63" s="69"/>
      <c r="P63" s="69"/>
      <c r="AH63" s="11">
        <v>0</v>
      </c>
    </row>
    <row r="64" spans="1:34" s="11" customFormat="1" ht="18.75" hidden="1" customHeight="1">
      <c r="A64" s="34"/>
      <c r="B64" s="34"/>
      <c r="C64" s="4" t="s">
        <v>1146</v>
      </c>
      <c r="D64" s="1472"/>
      <c r="E64" s="1250"/>
      <c r="F64" s="1411"/>
      <c r="G64" s="1447"/>
      <c r="H64" s="823"/>
      <c r="I64" s="52" t="s">
        <v>1147</v>
      </c>
      <c r="J64" s="111"/>
      <c r="K64" s="823"/>
      <c r="L64" s="108"/>
      <c r="M64" s="1205"/>
      <c r="N64" s="196"/>
      <c r="O64" s="69"/>
      <c r="P64" s="69"/>
      <c r="AH64" s="11">
        <v>0</v>
      </c>
    </row>
    <row r="65" spans="1:34" s="11" customFormat="1" ht="0.75" hidden="1" customHeight="1">
      <c r="A65" s="34"/>
      <c r="B65" s="34"/>
      <c r="C65" s="4" t="s">
        <v>1152</v>
      </c>
      <c r="D65" s="1472"/>
      <c r="E65" s="1250"/>
      <c r="F65" s="1411"/>
      <c r="G65" s="227"/>
      <c r="H65" s="823"/>
      <c r="I65" s="52"/>
      <c r="J65" s="111"/>
      <c r="K65" s="823"/>
      <c r="L65" s="108"/>
      <c r="M65" s="1205"/>
      <c r="N65" s="196"/>
      <c r="O65" s="69"/>
      <c r="P65" s="69"/>
      <c r="AH65" s="11">
        <v>0</v>
      </c>
    </row>
    <row r="66" spans="1:34" s="11" customFormat="1" ht="18.75" hidden="1" customHeight="1">
      <c r="A66" s="34" t="s">
        <v>249</v>
      </c>
      <c r="B66" s="34" t="s">
        <v>250</v>
      </c>
      <c r="C66" s="4"/>
      <c r="D66" s="1472"/>
      <c r="E66" s="1250"/>
      <c r="F66" s="1411" t="str">
        <f>INDEX(PT_DIFFERENTIATION_VTAR,MATCH(A66,PT_DIFFERENTIATION_VTAR_ID,0))</f>
        <v>Тариф на горячую воду (горячее водоснабжение)</v>
      </c>
      <c r="G66" s="1447" t="str">
        <f>INDEX(PT_DIFFERENTIATION_NTAR,MATCH(B66,PT_DIFFERENTIATION_NTAR_ID,0))</f>
        <v/>
      </c>
      <c r="H66" s="763"/>
      <c r="I66" s="948"/>
      <c r="J66" s="974"/>
      <c r="K66" s="1008"/>
      <c r="L66" s="763" t="s">
        <v>310</v>
      </c>
      <c r="M66" s="1205"/>
      <c r="N66" s="196"/>
      <c r="O66" s="69"/>
      <c r="P66" s="69"/>
      <c r="AH66" s="11">
        <v>0</v>
      </c>
    </row>
    <row r="67" spans="1:34" s="11" customFormat="1" ht="18.75" hidden="1" customHeight="1">
      <c r="A67" s="34"/>
      <c r="B67" s="34"/>
      <c r="C67" s="4" t="s">
        <v>1146</v>
      </c>
      <c r="D67" s="1472"/>
      <c r="E67" s="1250"/>
      <c r="F67" s="1411"/>
      <c r="G67" s="1447"/>
      <c r="H67" s="823"/>
      <c r="I67" s="52" t="s">
        <v>1147</v>
      </c>
      <c r="J67" s="111"/>
      <c r="K67" s="823"/>
      <c r="L67" s="108"/>
      <c r="M67" s="1205"/>
      <c r="N67" s="196"/>
      <c r="O67" s="69"/>
      <c r="P67" s="69"/>
      <c r="AH67" s="11">
        <v>0</v>
      </c>
    </row>
    <row r="68" spans="1:34" s="11" customFormat="1" ht="0.75" hidden="1" customHeight="1">
      <c r="A68" s="34"/>
      <c r="B68" s="34"/>
      <c r="C68" s="4" t="s">
        <v>1152</v>
      </c>
      <c r="D68" s="1472"/>
      <c r="E68" s="1250"/>
      <c r="F68" s="1411"/>
      <c r="G68" s="227"/>
      <c r="H68" s="823"/>
      <c r="I68" s="52"/>
      <c r="J68" s="111"/>
      <c r="K68" s="823"/>
      <c r="L68" s="108"/>
      <c r="M68" s="1205"/>
      <c r="N68" s="196"/>
      <c r="O68" s="69"/>
      <c r="P68" s="69"/>
      <c r="AH68" s="11">
        <v>0</v>
      </c>
    </row>
    <row r="69" spans="1:34" s="11" customFormat="1" ht="18.75" hidden="1" customHeight="1">
      <c r="A69" s="34" t="s">
        <v>254</v>
      </c>
      <c r="B69" s="34" t="s">
        <v>255</v>
      </c>
      <c r="C69" s="4"/>
      <c r="D69" s="1472"/>
      <c r="E69" s="1250"/>
      <c r="F69" s="1411" t="str">
        <f>INDEX(PT_DIFFERENTIATION_VTAR,MATCH(A69,PT_DIFFERENTIATION_VTAR_ID,0))</f>
        <v>Тариф на транспортировку горячей воды</v>
      </c>
      <c r="G69" s="1447" t="str">
        <f>INDEX(PT_DIFFERENTIATION_NTAR,MATCH(B69,PT_DIFFERENTIATION_NTAR_ID,0))</f>
        <v/>
      </c>
      <c r="H69" s="763"/>
      <c r="I69" s="948"/>
      <c r="J69" s="974"/>
      <c r="K69" s="1008"/>
      <c r="L69" s="763" t="s">
        <v>310</v>
      </c>
      <c r="M69" s="1205"/>
      <c r="N69" s="196"/>
      <c r="O69" s="69"/>
      <c r="P69" s="69"/>
      <c r="AH69" s="11">
        <v>0</v>
      </c>
    </row>
    <row r="70" spans="1:34" s="11" customFormat="1" ht="18.75" hidden="1" customHeight="1">
      <c r="A70" s="34"/>
      <c r="B70" s="34"/>
      <c r="C70" s="4" t="s">
        <v>1146</v>
      </c>
      <c r="D70" s="1472"/>
      <c r="E70" s="1250"/>
      <c r="F70" s="1411"/>
      <c r="G70" s="1447"/>
      <c r="H70" s="823"/>
      <c r="I70" s="52" t="s">
        <v>1147</v>
      </c>
      <c r="J70" s="111"/>
      <c r="K70" s="823"/>
      <c r="L70" s="108"/>
      <c r="M70" s="1205"/>
      <c r="N70" s="196"/>
      <c r="O70" s="69"/>
      <c r="P70" s="69"/>
      <c r="AH70" s="11">
        <v>0</v>
      </c>
    </row>
    <row r="71" spans="1:34" s="11" customFormat="1" ht="0.75" hidden="1" customHeight="1">
      <c r="A71" s="34"/>
      <c r="B71" s="34"/>
      <c r="C71" s="4" t="s">
        <v>1152</v>
      </c>
      <c r="D71" s="1472"/>
      <c r="E71" s="1250"/>
      <c r="F71" s="1411"/>
      <c r="G71" s="227"/>
      <c r="H71" s="823"/>
      <c r="I71" s="52"/>
      <c r="J71" s="111"/>
      <c r="K71" s="823"/>
      <c r="L71" s="108"/>
      <c r="M71" s="1205"/>
      <c r="N71" s="196"/>
      <c r="O71" s="69"/>
      <c r="P71" s="69"/>
      <c r="AH71" s="11">
        <v>0</v>
      </c>
    </row>
    <row r="72" spans="1:34" s="11" customFormat="1" ht="18.75" hidden="1" customHeight="1">
      <c r="A72" s="34" t="s">
        <v>259</v>
      </c>
      <c r="B72" s="34" t="s">
        <v>260</v>
      </c>
      <c r="C72" s="4"/>
      <c r="D72" s="1472"/>
      <c r="E72" s="1250"/>
      <c r="F72" s="1411" t="str">
        <f>INDEX(PT_DIFFERENTIATION_VTAR,MATCH(A72,PT_DIFFERENTIATION_VTAR_ID,0))</f>
        <v>Тариф на подключение (технологическое присоединение) к централизованной системе горячего водоснабжения</v>
      </c>
      <c r="G72" s="1447" t="str">
        <f>INDEX(PT_DIFFERENTIATION_NTAR,MATCH(B72,PT_DIFFERENTIATION_NTAR_ID,0))</f>
        <v/>
      </c>
      <c r="H72" s="763"/>
      <c r="I72" s="948"/>
      <c r="J72" s="974"/>
      <c r="K72" s="1008"/>
      <c r="L72" s="763" t="s">
        <v>310</v>
      </c>
      <c r="M72" s="1205"/>
      <c r="N72" s="196"/>
      <c r="O72" s="69"/>
      <c r="P72" s="69"/>
      <c r="AH72" s="11">
        <v>0</v>
      </c>
    </row>
    <row r="73" spans="1:34" s="11" customFormat="1" ht="18.75" hidden="1" customHeight="1">
      <c r="A73" s="34"/>
      <c r="B73" s="34"/>
      <c r="C73" s="4" t="s">
        <v>1146</v>
      </c>
      <c r="D73" s="1472"/>
      <c r="E73" s="1250"/>
      <c r="F73" s="1411"/>
      <c r="G73" s="1447"/>
      <c r="H73" s="823"/>
      <c r="I73" s="52" t="s">
        <v>1147</v>
      </c>
      <c r="J73" s="111"/>
      <c r="K73" s="823"/>
      <c r="L73" s="108"/>
      <c r="M73" s="1205"/>
      <c r="N73" s="196"/>
      <c r="O73" s="69"/>
      <c r="P73" s="69"/>
      <c r="AH73" s="11">
        <v>0</v>
      </c>
    </row>
    <row r="74" spans="1:34" s="11" customFormat="1" ht="0.75" hidden="1" customHeight="1">
      <c r="A74" s="34"/>
      <c r="B74" s="34"/>
      <c r="C74" s="4" t="s">
        <v>1152</v>
      </c>
      <c r="D74" s="1472"/>
      <c r="E74" s="1250"/>
      <c r="F74" s="1411"/>
      <c r="G74" s="227"/>
      <c r="H74" s="823"/>
      <c r="I74" s="52"/>
      <c r="J74" s="111"/>
      <c r="K74" s="823"/>
      <c r="L74" s="108"/>
      <c r="M74" s="1205"/>
      <c r="N74" s="196"/>
      <c r="O74" s="69"/>
      <c r="P74" s="69"/>
      <c r="AH74" s="11">
        <v>0</v>
      </c>
    </row>
    <row r="75" spans="1:34" s="11" customFormat="1" ht="18.75" hidden="1" customHeight="1">
      <c r="A75" s="34" t="s">
        <v>264</v>
      </c>
      <c r="B75" s="34" t="s">
        <v>265</v>
      </c>
      <c r="C75" s="4"/>
      <c r="D75" s="1472"/>
      <c r="E75" s="1250"/>
      <c r="F75" s="1411" t="str">
        <f>INDEX(PT_DIFFERENTIATION_VTAR,MATCH(A75,PT_DIFFERENTIATION_VTAR_ID,0))</f>
        <v>Тариф на водоотведение</v>
      </c>
      <c r="G75" s="1447" t="str">
        <f>INDEX(PT_DIFFERENTIATION_NTAR,MATCH(B75,PT_DIFFERENTIATION_NTAR_ID,0))</f>
        <v/>
      </c>
      <c r="H75" s="763"/>
      <c r="I75" s="948"/>
      <c r="J75" s="974"/>
      <c r="K75" s="1008"/>
      <c r="L75" s="763" t="s">
        <v>310</v>
      </c>
      <c r="M75" s="1205"/>
      <c r="N75" s="196"/>
      <c r="O75" s="69"/>
      <c r="P75" s="69"/>
      <c r="AH75" s="11">
        <v>0</v>
      </c>
    </row>
    <row r="76" spans="1:34" s="11" customFormat="1" ht="18.75" hidden="1" customHeight="1">
      <c r="A76" s="34"/>
      <c r="B76" s="34"/>
      <c r="C76" s="4" t="s">
        <v>1146</v>
      </c>
      <c r="D76" s="1472"/>
      <c r="E76" s="1250"/>
      <c r="F76" s="1411"/>
      <c r="G76" s="1447"/>
      <c r="H76" s="823"/>
      <c r="I76" s="52" t="s">
        <v>1147</v>
      </c>
      <c r="J76" s="111"/>
      <c r="K76" s="823"/>
      <c r="L76" s="108"/>
      <c r="M76" s="1205"/>
      <c r="N76" s="196"/>
      <c r="O76" s="69"/>
      <c r="P76" s="69"/>
      <c r="AH76" s="11">
        <v>0</v>
      </c>
    </row>
    <row r="77" spans="1:34" s="11" customFormat="1" ht="0.75" hidden="1" customHeight="1">
      <c r="A77" s="34"/>
      <c r="B77" s="34"/>
      <c r="C77" s="4" t="s">
        <v>1152</v>
      </c>
      <c r="D77" s="1472"/>
      <c r="E77" s="1250"/>
      <c r="F77" s="1411"/>
      <c r="G77" s="227"/>
      <c r="H77" s="823"/>
      <c r="I77" s="52"/>
      <c r="J77" s="111"/>
      <c r="K77" s="823"/>
      <c r="L77" s="108"/>
      <c r="M77" s="1205"/>
      <c r="N77" s="196"/>
      <c r="O77" s="69"/>
      <c r="P77" s="69"/>
      <c r="AH77" s="11">
        <v>0</v>
      </c>
    </row>
    <row r="78" spans="1:34" s="11" customFormat="1" ht="18.75" hidden="1" customHeight="1">
      <c r="A78" s="34" t="s">
        <v>271</v>
      </c>
      <c r="B78" s="34" t="s">
        <v>272</v>
      </c>
      <c r="C78" s="4"/>
      <c r="D78" s="1472"/>
      <c r="E78" s="1250"/>
      <c r="F78" s="1411" t="str">
        <f>INDEX(PT_DIFFERENTIATION_VTAR,MATCH(A78,PT_DIFFERENTIATION_VTAR_ID,0))</f>
        <v>Тариф на транспортировку сточных вод</v>
      </c>
      <c r="G78" s="1447" t="str">
        <f>INDEX(PT_DIFFERENTIATION_NTAR,MATCH(B78,PT_DIFFERENTIATION_NTAR_ID,0))</f>
        <v>Транспортировка сточных вод</v>
      </c>
      <c r="H78" s="763"/>
      <c r="I78" s="948"/>
      <c r="J78" s="974"/>
      <c r="K78" s="1008"/>
      <c r="L78" s="763" t="s">
        <v>310</v>
      </c>
      <c r="M78" s="1205"/>
      <c r="N78" s="196"/>
      <c r="O78" s="69"/>
      <c r="P78" s="69"/>
      <c r="AH78" s="11">
        <v>0</v>
      </c>
    </row>
    <row r="79" spans="1:34" s="11" customFormat="1" ht="18.75" hidden="1" customHeight="1">
      <c r="A79" s="34"/>
      <c r="B79" s="34"/>
      <c r="C79" s="4" t="s">
        <v>1146</v>
      </c>
      <c r="D79" s="1472"/>
      <c r="E79" s="1250"/>
      <c r="F79" s="1411"/>
      <c r="G79" s="1447"/>
      <c r="H79" s="823"/>
      <c r="I79" s="52" t="s">
        <v>1147</v>
      </c>
      <c r="J79" s="111"/>
      <c r="K79" s="823"/>
      <c r="L79" s="108"/>
      <c r="M79" s="1205"/>
      <c r="N79" s="196"/>
      <c r="O79" s="69"/>
      <c r="P79" s="69"/>
      <c r="AH79" s="11">
        <v>0</v>
      </c>
    </row>
    <row r="80" spans="1:34" s="11" customFormat="1" ht="0.75" hidden="1" customHeight="1">
      <c r="A80" s="34"/>
      <c r="B80" s="34"/>
      <c r="C80" s="4" t="s">
        <v>1152</v>
      </c>
      <c r="D80" s="1472"/>
      <c r="E80" s="1250"/>
      <c r="F80" s="1411"/>
      <c r="G80" s="227"/>
      <c r="H80" s="823"/>
      <c r="I80" s="52"/>
      <c r="J80" s="111"/>
      <c r="K80" s="823"/>
      <c r="L80" s="108"/>
      <c r="M80" s="1205"/>
      <c r="N80" s="196"/>
      <c r="O80" s="69"/>
      <c r="P80" s="69"/>
      <c r="AH80" s="11">
        <v>0</v>
      </c>
    </row>
    <row r="81" spans="1:34" s="11" customFormat="1" ht="18.75" hidden="1" customHeight="1">
      <c r="A81" s="34" t="s">
        <v>279</v>
      </c>
      <c r="B81" s="34" t="s">
        <v>280</v>
      </c>
      <c r="C81" s="4"/>
      <c r="D81" s="1472"/>
      <c r="E81" s="1250"/>
      <c r="F81" s="1411" t="str">
        <f>INDEX(PT_DIFFERENTIATION_VTAR,MATCH(A81,PT_DIFFERENTIATION_VTAR_ID,0))</f>
        <v>Тариф на подключение (технологическое присоединение) к централизованной системе водоотведения</v>
      </c>
      <c r="G81" s="1447" t="str">
        <f>INDEX(PT_DIFFERENTIATION_NTAR,MATCH(B81,PT_DIFFERENTIATION_NTAR_ID,0))</f>
        <v/>
      </c>
      <c r="H81" s="763"/>
      <c r="I81" s="948"/>
      <c r="J81" s="974"/>
      <c r="K81" s="1008"/>
      <c r="L81" s="763" t="s">
        <v>310</v>
      </c>
      <c r="M81" s="1205"/>
      <c r="N81" s="196"/>
      <c r="O81" s="69"/>
      <c r="P81" s="69"/>
      <c r="AH81" s="11">
        <v>0</v>
      </c>
    </row>
    <row r="82" spans="1:34" s="11" customFormat="1" ht="18.75" hidden="1" customHeight="1">
      <c r="A82" s="34"/>
      <c r="B82" s="34"/>
      <c r="C82" s="4" t="s">
        <v>1146</v>
      </c>
      <c r="D82" s="1472"/>
      <c r="E82" s="1250"/>
      <c r="F82" s="1411"/>
      <c r="G82" s="1447"/>
      <c r="H82" s="823"/>
      <c r="I82" s="52" t="s">
        <v>1147</v>
      </c>
      <c r="J82" s="111"/>
      <c r="K82" s="823"/>
      <c r="L82" s="108"/>
      <c r="M82" s="1205"/>
      <c r="N82" s="196"/>
      <c r="O82" s="69"/>
      <c r="P82" s="69"/>
      <c r="AH82" s="11">
        <v>0</v>
      </c>
    </row>
    <row r="83" spans="1:34" s="11" customFormat="1" ht="1.05" customHeight="1">
      <c r="A83" s="34"/>
      <c r="B83" s="34"/>
      <c r="C83" s="4" t="s">
        <v>1152</v>
      </c>
      <c r="D83" s="1472"/>
      <c r="E83" s="1250"/>
      <c r="F83" s="1411"/>
      <c r="G83" s="227"/>
      <c r="H83" s="823"/>
      <c r="I83" s="52"/>
      <c r="J83" s="111"/>
      <c r="K83" s="823"/>
      <c r="L83" s="108"/>
      <c r="M83" s="1205"/>
      <c r="N83" s="196"/>
      <c r="O83" s="69"/>
      <c r="P83" s="69"/>
      <c r="AH83" s="11">
        <v>1</v>
      </c>
    </row>
    <row r="84" spans="1:34" ht="19.95" customHeight="1">
      <c r="A84" s="34"/>
      <c r="B84" s="34"/>
      <c r="D84" s="28"/>
      <c r="E84" s="64" t="s">
        <v>111</v>
      </c>
      <c r="F84" s="1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71"/>
      <c r="H84" s="1471"/>
      <c r="I84" s="1471"/>
      <c r="J84" s="1471"/>
      <c r="K84" s="1471"/>
      <c r="L84" s="1471"/>
      <c r="M84" s="114"/>
      <c r="N84" s="196"/>
      <c r="AH84" s="11">
        <v>19</v>
      </c>
    </row>
    <row r="85" spans="1:34" ht="35.700000000000003" customHeight="1">
      <c r="A85" s="34"/>
      <c r="B85" s="34"/>
      <c r="D85" s="28"/>
      <c r="E85" s="226"/>
      <c r="F85" s="39" t="s">
        <v>310</v>
      </c>
      <c r="G85" s="39" t="s">
        <v>310</v>
      </c>
      <c r="H85" s="1260" t="s">
        <v>310</v>
      </c>
      <c r="I85" s="1274"/>
      <c r="J85" s="39" t="s">
        <v>310</v>
      </c>
      <c r="K85" s="39" t="s">
        <v>310</v>
      </c>
      <c r="L85" s="228"/>
      <c r="M85" s="67" t="s">
        <v>1153</v>
      </c>
      <c r="N85" s="196"/>
      <c r="AH85" s="11">
        <v>34</v>
      </c>
    </row>
    <row r="86" spans="1:34" ht="19.95" customHeight="1">
      <c r="A86" s="34"/>
      <c r="B86" s="34"/>
      <c r="D86" s="28"/>
      <c r="E86" s="64" t="s">
        <v>91</v>
      </c>
      <c r="F86" s="1471" t="s">
        <v>1154</v>
      </c>
      <c r="G86" s="1471"/>
      <c r="H86" s="1471"/>
      <c r="I86" s="1471"/>
      <c r="J86" s="1471"/>
      <c r="K86" s="1471"/>
      <c r="L86" s="1471"/>
      <c r="M86" s="114"/>
      <c r="N86" s="196"/>
      <c r="AH86" s="11">
        <v>19</v>
      </c>
    </row>
    <row r="87" spans="1:34" s="11" customFormat="1" ht="60.75" hidden="1" customHeight="1">
      <c r="A87" s="34" t="s">
        <v>156</v>
      </c>
      <c r="B87" s="34" t="s">
        <v>157</v>
      </c>
      <c r="C87" s="4"/>
      <c r="D87" s="1472"/>
      <c r="E87" s="1250"/>
      <c r="F87" s="141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7" t="str">
        <f>INDEX(PT_DIFFERENTIATION_NTAR,MATCH(B87,PT_DIFFERENTIATION_NTAR_ID,0))</f>
        <v/>
      </c>
      <c r="H87" s="763"/>
      <c r="I87" s="948"/>
      <c r="J87" s="974"/>
      <c r="K87" s="366"/>
      <c r="L87" s="763" t="s">
        <v>310</v>
      </c>
      <c r="M87"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72"/>
      <c r="E88" s="1250"/>
      <c r="F88" s="1411"/>
      <c r="G88" s="1447"/>
      <c r="H88" s="823"/>
      <c r="I88" s="52" t="s">
        <v>1147</v>
      </c>
      <c r="J88" s="111"/>
      <c r="K88" s="823"/>
      <c r="L88" s="108"/>
      <c r="M88" s="1205"/>
      <c r="N88" s="196"/>
      <c r="O88" s="69"/>
      <c r="P88" s="69"/>
      <c r="AH88" s="11">
        <v>0</v>
      </c>
    </row>
    <row r="89" spans="1:34" s="11" customFormat="1" ht="0.75" hidden="1" customHeight="1">
      <c r="A89" s="34"/>
      <c r="B89" s="34"/>
      <c r="C89" s="4" t="s">
        <v>1155</v>
      </c>
      <c r="D89" s="1472"/>
      <c r="E89" s="1250"/>
      <c r="F89" s="1411"/>
      <c r="G89" s="227"/>
      <c r="H89" s="823"/>
      <c r="I89" s="52"/>
      <c r="J89" s="111"/>
      <c r="K89" s="823"/>
      <c r="L89" s="108"/>
      <c r="M89" s="1205"/>
      <c r="N89" s="196"/>
      <c r="O89" s="69"/>
      <c r="P89" s="69"/>
      <c r="AH89" s="11">
        <v>0</v>
      </c>
    </row>
    <row r="90" spans="1:34" s="11" customFormat="1" ht="45" hidden="1" customHeight="1">
      <c r="A90" s="34" t="s">
        <v>161</v>
      </c>
      <c r="B90" s="34" t="s">
        <v>162</v>
      </c>
      <c r="C90" s="4"/>
      <c r="D90" s="1472"/>
      <c r="E90" s="1250"/>
      <c r="F90" s="1411" t="str">
        <f>INDEX(PT_DIFFERENTIATION_VTAR,MATCH(A90,PT_DIFFERENTIATION_VTAR_ID,0))</f>
        <v/>
      </c>
      <c r="G90" s="1447" t="str">
        <f>INDEX(PT_DIFFERENTIATION_NTAR,MATCH(B90,PT_DIFFERENTIATION_NTAR_ID,0))</f>
        <v/>
      </c>
      <c r="H90" s="763"/>
      <c r="I90" s="948"/>
      <c r="J90" s="974"/>
      <c r="K90" s="366"/>
      <c r="L90" s="763" t="s">
        <v>310</v>
      </c>
      <c r="M90" s="1206"/>
      <c r="N90" s="196"/>
      <c r="O90" s="69"/>
      <c r="P90" s="69"/>
      <c r="AH90" s="11">
        <v>0</v>
      </c>
    </row>
    <row r="91" spans="1:34" s="11" customFormat="1" ht="18.75" hidden="1" customHeight="1">
      <c r="A91" s="34"/>
      <c r="B91" s="34"/>
      <c r="C91" s="4" t="s">
        <v>1148</v>
      </c>
      <c r="D91" s="1472"/>
      <c r="E91" s="1250"/>
      <c r="F91" s="1411"/>
      <c r="G91" s="1447"/>
      <c r="H91" s="823"/>
      <c r="I91" s="52" t="s">
        <v>1147</v>
      </c>
      <c r="J91" s="111"/>
      <c r="K91" s="823"/>
      <c r="L91" s="108"/>
      <c r="M91" s="1006"/>
      <c r="N91" s="196"/>
      <c r="O91" s="69"/>
      <c r="P91" s="69"/>
      <c r="AH91" s="11">
        <v>0</v>
      </c>
    </row>
    <row r="92" spans="1:34" s="11" customFormat="1" ht="0.75" hidden="1" customHeight="1">
      <c r="A92" s="34"/>
      <c r="B92" s="34"/>
      <c r="C92" s="4" t="s">
        <v>1155</v>
      </c>
      <c r="D92" s="1472"/>
      <c r="E92" s="1250"/>
      <c r="F92" s="1411"/>
      <c r="G92" s="227"/>
      <c r="H92" s="823"/>
      <c r="I92" s="52"/>
      <c r="J92" s="111"/>
      <c r="K92" s="823"/>
      <c r="L92" s="108"/>
      <c r="M92" s="201"/>
      <c r="N92" s="196"/>
      <c r="O92" s="69"/>
      <c r="P92" s="69"/>
      <c r="AH92" s="11">
        <v>0</v>
      </c>
    </row>
    <row r="93" spans="1:34" s="11" customFormat="1" ht="45" hidden="1" customHeight="1">
      <c r="A93" s="34" t="s">
        <v>168</v>
      </c>
      <c r="B93" s="34" t="s">
        <v>169</v>
      </c>
      <c r="C93" s="4"/>
      <c r="D93" s="1472"/>
      <c r="E93" s="1250"/>
      <c r="F93" s="141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7"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1148</v>
      </c>
      <c r="D94" s="1472"/>
      <c r="E94" s="1250"/>
      <c r="F94" s="1411"/>
      <c r="G94" s="1447"/>
      <c r="H94" s="823"/>
      <c r="I94" s="52" t="s">
        <v>1147</v>
      </c>
      <c r="J94" s="111"/>
      <c r="K94" s="823"/>
      <c r="L94" s="108"/>
      <c r="M94" s="201"/>
      <c r="N94" s="196"/>
      <c r="O94" s="69"/>
      <c r="P94" s="69"/>
      <c r="AH94" s="11">
        <v>0</v>
      </c>
    </row>
    <row r="95" spans="1:34" s="11" customFormat="1" ht="0.75" hidden="1" customHeight="1">
      <c r="A95" s="34"/>
      <c r="B95" s="34"/>
      <c r="C95" s="4" t="s">
        <v>1155</v>
      </c>
      <c r="D95" s="1472"/>
      <c r="E95" s="1250"/>
      <c r="F95" s="1411"/>
      <c r="G95" s="227"/>
      <c r="H95" s="823"/>
      <c r="I95" s="52"/>
      <c r="J95" s="111"/>
      <c r="K95" s="823"/>
      <c r="L95" s="108"/>
      <c r="M95" s="201"/>
      <c r="N95" s="196"/>
      <c r="O95" s="69"/>
      <c r="P95" s="69"/>
      <c r="AH95" s="11">
        <v>0</v>
      </c>
    </row>
    <row r="96" spans="1:34" s="11" customFormat="1" ht="45" hidden="1" customHeight="1">
      <c r="A96" s="34" t="s">
        <v>174</v>
      </c>
      <c r="B96" s="34" t="s">
        <v>175</v>
      </c>
      <c r="C96" s="4"/>
      <c r="D96" s="1472"/>
      <c r="E96" s="1250"/>
      <c r="F96" s="141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7"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1148</v>
      </c>
      <c r="D97" s="1472"/>
      <c r="E97" s="1250"/>
      <c r="F97" s="1411"/>
      <c r="G97" s="1447"/>
      <c r="H97" s="823"/>
      <c r="I97" s="52" t="s">
        <v>1147</v>
      </c>
      <c r="J97" s="111"/>
      <c r="K97" s="823"/>
      <c r="L97" s="108"/>
      <c r="M97" s="201"/>
      <c r="N97" s="196"/>
      <c r="O97" s="69"/>
      <c r="P97" s="69"/>
      <c r="AH97" s="11">
        <v>0</v>
      </c>
    </row>
    <row r="98" spans="1:34" s="11" customFormat="1" ht="0.75" hidden="1" customHeight="1">
      <c r="A98" s="34"/>
      <c r="B98" s="34"/>
      <c r="C98" s="4" t="s">
        <v>1155</v>
      </c>
      <c r="D98" s="1472"/>
      <c r="E98" s="1250"/>
      <c r="F98" s="1411"/>
      <c r="G98" s="227"/>
      <c r="H98" s="823"/>
      <c r="I98" s="52"/>
      <c r="J98" s="111"/>
      <c r="K98" s="823"/>
      <c r="L98" s="108"/>
      <c r="M98" s="201"/>
      <c r="N98" s="196"/>
      <c r="O98" s="69"/>
      <c r="P98" s="69"/>
      <c r="AH98" s="11">
        <v>0</v>
      </c>
    </row>
    <row r="99" spans="1:34" s="11" customFormat="1" ht="18.75" hidden="1" customHeight="1">
      <c r="A99" s="34" t="s">
        <v>180</v>
      </c>
      <c r="B99" s="34" t="s">
        <v>181</v>
      </c>
      <c r="C99" s="4"/>
      <c r="D99" s="1472"/>
      <c r="E99" s="1250"/>
      <c r="F99" s="1411" t="str">
        <f>INDEX(PT_DIFFERENTIATION_VTAR,MATCH(A99,PT_DIFFERENTIATION_VTAR_ID,0))</f>
        <v>Тарифы на услуги по передаче тепловой энергии</v>
      </c>
      <c r="G99" s="1447"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1148</v>
      </c>
      <c r="D100" s="1472"/>
      <c r="E100" s="1250"/>
      <c r="F100" s="1411"/>
      <c r="G100" s="1447"/>
      <c r="H100" s="823"/>
      <c r="I100" s="52" t="s">
        <v>1147</v>
      </c>
      <c r="J100" s="111"/>
      <c r="K100" s="823"/>
      <c r="L100" s="108"/>
      <c r="M100" s="201"/>
      <c r="N100" s="196"/>
      <c r="O100" s="69"/>
      <c r="P100" s="69"/>
      <c r="AH100" s="11">
        <v>0</v>
      </c>
    </row>
    <row r="101" spans="1:34" s="11" customFormat="1" ht="0.75" hidden="1" customHeight="1">
      <c r="A101" s="34"/>
      <c r="B101" s="34"/>
      <c r="C101" s="4" t="s">
        <v>1155</v>
      </c>
      <c r="D101" s="1472"/>
      <c r="E101" s="1250"/>
      <c r="F101" s="1411"/>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72"/>
      <c r="E102" s="1250"/>
      <c r="F102" s="1411" t="str">
        <f>INDEX(PT_DIFFERENTIATION_VTAR,MATCH(A102,PT_DIFFERENTIATION_VTAR_ID,0))</f>
        <v>Тарифы на услуги по передаче теплоносителя</v>
      </c>
      <c r="G102" s="1447"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1148</v>
      </c>
      <c r="D103" s="1472"/>
      <c r="E103" s="1250"/>
      <c r="F103" s="1411"/>
      <c r="G103" s="1447"/>
      <c r="H103" s="823"/>
      <c r="I103" s="52" t="s">
        <v>1147</v>
      </c>
      <c r="J103" s="111"/>
      <c r="K103" s="823"/>
      <c r="L103" s="108"/>
      <c r="M103" s="201"/>
      <c r="N103" s="196"/>
      <c r="O103" s="69"/>
      <c r="P103" s="69"/>
      <c r="AH103" s="11">
        <v>0</v>
      </c>
    </row>
    <row r="104" spans="1:34" s="11" customFormat="1" ht="0.75" hidden="1" customHeight="1">
      <c r="A104" s="34"/>
      <c r="B104" s="34"/>
      <c r="C104" s="4" t="s">
        <v>1155</v>
      </c>
      <c r="D104" s="1472"/>
      <c r="E104" s="1250"/>
      <c r="F104" s="1411"/>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72"/>
      <c r="E105" s="1250"/>
      <c r="F105" s="141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7"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1148</v>
      </c>
      <c r="D106" s="1472"/>
      <c r="E106" s="1250"/>
      <c r="F106" s="1411"/>
      <c r="G106" s="1447"/>
      <c r="H106" s="823"/>
      <c r="I106" s="52" t="s">
        <v>1147</v>
      </c>
      <c r="J106" s="111"/>
      <c r="K106" s="823"/>
      <c r="L106" s="108"/>
      <c r="M106" s="201"/>
      <c r="N106" s="196"/>
      <c r="O106" s="69"/>
      <c r="P106" s="69"/>
      <c r="AH106" s="11">
        <v>0</v>
      </c>
    </row>
    <row r="107" spans="1:34" s="11" customFormat="1" ht="0.75" hidden="1" customHeight="1">
      <c r="A107" s="34"/>
      <c r="B107" s="34"/>
      <c r="C107" s="4" t="s">
        <v>1155</v>
      </c>
      <c r="D107" s="1472"/>
      <c r="E107" s="1250"/>
      <c r="F107" s="1411"/>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72"/>
      <c r="E108" s="1250"/>
      <c r="F108" s="1411" t="str">
        <f>INDEX(PT_DIFFERENTIATION_VTAR,MATCH(A108,PT_DIFFERENTIATION_VTAR_ID,0))</f>
        <v>Плата за подключение (технологическое присоединение) к системе теплоснабжения</v>
      </c>
      <c r="G108" s="1447"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1148</v>
      </c>
      <c r="D109" s="1472"/>
      <c r="E109" s="1250"/>
      <c r="F109" s="1411"/>
      <c r="G109" s="1447"/>
      <c r="H109" s="823"/>
      <c r="I109" s="52" t="s">
        <v>1147</v>
      </c>
      <c r="J109" s="111"/>
      <c r="K109" s="823"/>
      <c r="L109" s="108"/>
      <c r="M109" s="201"/>
      <c r="N109" s="196"/>
      <c r="O109" s="69"/>
      <c r="P109" s="69"/>
      <c r="AH109" s="11">
        <v>0</v>
      </c>
    </row>
    <row r="110" spans="1:34" s="11" customFormat="1" ht="0.75" hidden="1" customHeight="1">
      <c r="A110" s="34"/>
      <c r="B110" s="34"/>
      <c r="C110" s="4" t="s">
        <v>1155</v>
      </c>
      <c r="D110" s="1472"/>
      <c r="E110" s="1250"/>
      <c r="F110" s="1411"/>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72"/>
      <c r="E111" s="1250"/>
      <c r="F111" s="1411" t="str">
        <f>INDEX(PT_DIFFERENTIATION_VTAR,MATCH(A111,PT_DIFFERENTIATION_VTAR_ID,0))</f>
        <v>Плата за подключение (технологическое присоединение) к системе теплоснабжения (индивидуальная)</v>
      </c>
      <c r="G111" s="1447"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1148</v>
      </c>
      <c r="D112" s="1472"/>
      <c r="E112" s="1250"/>
      <c r="F112" s="1411"/>
      <c r="G112" s="1447"/>
      <c r="H112" s="823"/>
      <c r="I112" s="52" t="s">
        <v>1147</v>
      </c>
      <c r="J112" s="111"/>
      <c r="K112" s="823"/>
      <c r="L112" s="108"/>
      <c r="M112" s="201"/>
      <c r="N112" s="196"/>
      <c r="O112" s="69"/>
      <c r="P112" s="69"/>
      <c r="AH112" s="11">
        <v>0</v>
      </c>
    </row>
    <row r="113" spans="1:34" s="11" customFormat="1" ht="0.75" hidden="1" customHeight="1">
      <c r="A113" s="34"/>
      <c r="B113" s="34"/>
      <c r="C113" s="4" t="s">
        <v>1155</v>
      </c>
      <c r="D113" s="1472"/>
      <c r="E113" s="1250"/>
      <c r="F113" s="1411"/>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72"/>
      <c r="E114" s="1250"/>
      <c r="F114" s="1411" t="str">
        <f>INDEX(PT_DIFFERENTIATION_VTAR,MATCH(A114,PT_DIFFERENTIATION_VTAR_ID,0))</f>
        <v>Тариф на питьевую воду (питьевое водоснабжение)</v>
      </c>
      <c r="G114" s="1447"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1148</v>
      </c>
      <c r="D115" s="1472"/>
      <c r="E115" s="1250"/>
      <c r="F115" s="1411"/>
      <c r="G115" s="1447"/>
      <c r="H115" s="823"/>
      <c r="I115" s="52" t="s">
        <v>1147</v>
      </c>
      <c r="J115" s="111"/>
      <c r="K115" s="823"/>
      <c r="L115" s="108"/>
      <c r="M115" s="201"/>
      <c r="N115" s="196"/>
      <c r="O115" s="69"/>
      <c r="P115" s="69"/>
      <c r="AH115" s="11">
        <v>0</v>
      </c>
    </row>
    <row r="116" spans="1:34" s="11" customFormat="1" ht="0.75" hidden="1" customHeight="1">
      <c r="A116" s="34"/>
      <c r="B116" s="34"/>
      <c r="C116" s="4" t="s">
        <v>1155</v>
      </c>
      <c r="D116" s="1472"/>
      <c r="E116" s="1250"/>
      <c r="F116" s="1411"/>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72"/>
      <c r="E117" s="1250"/>
      <c r="F117" s="1411" t="str">
        <f>INDEX(PT_DIFFERENTIATION_VTAR,MATCH(A117,PT_DIFFERENTIATION_VTAR_ID,0))</f>
        <v>Тариф на техническую воду</v>
      </c>
      <c r="G117" s="1447"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1148</v>
      </c>
      <c r="D118" s="1472"/>
      <c r="E118" s="1250"/>
      <c r="F118" s="1411"/>
      <c r="G118" s="1447"/>
      <c r="H118" s="823"/>
      <c r="I118" s="52" t="s">
        <v>1147</v>
      </c>
      <c r="J118" s="111"/>
      <c r="K118" s="823"/>
      <c r="L118" s="108"/>
      <c r="M118" s="201"/>
      <c r="N118" s="196"/>
      <c r="O118" s="69"/>
      <c r="P118" s="69"/>
      <c r="AH118" s="11">
        <v>0</v>
      </c>
    </row>
    <row r="119" spans="1:34" s="11" customFormat="1" ht="0.75" hidden="1" customHeight="1">
      <c r="A119" s="34"/>
      <c r="B119" s="34"/>
      <c r="C119" s="4" t="s">
        <v>1155</v>
      </c>
      <c r="D119" s="1472"/>
      <c r="E119" s="1250"/>
      <c r="F119" s="1411"/>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72"/>
      <c r="E120" s="1250"/>
      <c r="F120" s="1411" t="str">
        <f>INDEX(PT_DIFFERENTIATION_VTAR,MATCH(A120,PT_DIFFERENTIATION_VTAR_ID,0))</f>
        <v>Тариф на транспортировку воды</v>
      </c>
      <c r="G120" s="1447"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1148</v>
      </c>
      <c r="D121" s="1472"/>
      <c r="E121" s="1250"/>
      <c r="F121" s="1411"/>
      <c r="G121" s="1447"/>
      <c r="H121" s="823"/>
      <c r="I121" s="52" t="s">
        <v>1147</v>
      </c>
      <c r="J121" s="111"/>
      <c r="K121" s="823"/>
      <c r="L121" s="108"/>
      <c r="M121" s="201"/>
      <c r="N121" s="196"/>
      <c r="O121" s="69"/>
      <c r="P121" s="69"/>
      <c r="AH121" s="11">
        <v>0</v>
      </c>
    </row>
    <row r="122" spans="1:34" s="11" customFormat="1" ht="0.75" hidden="1" customHeight="1">
      <c r="A122" s="34"/>
      <c r="B122" s="34"/>
      <c r="C122" s="4" t="s">
        <v>1155</v>
      </c>
      <c r="D122" s="1472"/>
      <c r="E122" s="1250"/>
      <c r="F122" s="1411"/>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72"/>
      <c r="E123" s="1250"/>
      <c r="F123" s="1411" t="str">
        <f>INDEX(PT_DIFFERENTIATION_VTAR,MATCH(A123,PT_DIFFERENTIATION_VTAR_ID,0))</f>
        <v>Тариф на подвоз воды</v>
      </c>
      <c r="G123" s="1447" t="str">
        <f>INDEX(PT_DIFFERENTIATION_NTAR,MATCH(B123,PT_DIFFERENTIATION_NTAR_ID,0))</f>
        <v/>
      </c>
      <c r="H123" s="763"/>
      <c r="I123" s="948"/>
      <c r="J123" s="974"/>
      <c r="K123" s="366"/>
      <c r="L123" s="763" t="s">
        <v>310</v>
      </c>
      <c r="M123" s="201"/>
      <c r="N123" s="196"/>
      <c r="O123" s="69"/>
      <c r="P123" s="69"/>
      <c r="AH123" s="11">
        <v>0</v>
      </c>
    </row>
    <row r="124" spans="1:34" s="11" customFormat="1" ht="18.75" hidden="1" customHeight="1">
      <c r="A124" s="34"/>
      <c r="B124" s="34"/>
      <c r="C124" s="4" t="s">
        <v>1148</v>
      </c>
      <c r="D124" s="1472"/>
      <c r="E124" s="1250"/>
      <c r="F124" s="1411"/>
      <c r="G124" s="1447"/>
      <c r="H124" s="823"/>
      <c r="I124" s="52" t="s">
        <v>1147</v>
      </c>
      <c r="J124" s="111"/>
      <c r="K124" s="823"/>
      <c r="L124" s="108"/>
      <c r="M124" s="201"/>
      <c r="N124" s="196"/>
      <c r="O124" s="69"/>
      <c r="P124" s="69"/>
      <c r="AH124" s="11">
        <v>0</v>
      </c>
    </row>
    <row r="125" spans="1:34" s="11" customFormat="1" ht="0.75" hidden="1" customHeight="1">
      <c r="A125" s="34"/>
      <c r="B125" s="34"/>
      <c r="C125" s="4" t="s">
        <v>1155</v>
      </c>
      <c r="D125" s="1472"/>
      <c r="E125" s="1250"/>
      <c r="F125" s="1411"/>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72"/>
      <c r="E126" s="1250"/>
      <c r="F126" s="141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47"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1148</v>
      </c>
      <c r="D127" s="1472"/>
      <c r="E127" s="1250"/>
      <c r="F127" s="1411"/>
      <c r="G127" s="1447"/>
      <c r="H127" s="823"/>
      <c r="I127" s="52" t="s">
        <v>1147</v>
      </c>
      <c r="J127" s="111"/>
      <c r="K127" s="823"/>
      <c r="L127" s="108"/>
      <c r="M127" s="201"/>
      <c r="N127" s="196"/>
      <c r="O127" s="69"/>
      <c r="P127" s="69"/>
      <c r="AH127" s="11">
        <v>0</v>
      </c>
    </row>
    <row r="128" spans="1:34" s="11" customFormat="1" ht="0.75" hidden="1" customHeight="1">
      <c r="A128" s="34"/>
      <c r="B128" s="34"/>
      <c r="C128" s="4" t="s">
        <v>1155</v>
      </c>
      <c r="D128" s="1472"/>
      <c r="E128" s="1250"/>
      <c r="F128" s="1411"/>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72"/>
      <c r="E129" s="1250"/>
      <c r="F129" s="1411" t="str">
        <f>INDEX(PT_DIFFERENTIATION_VTAR,MATCH(A129,PT_DIFFERENTIATION_VTAR_ID,0))</f>
        <v>Тариф на горячую воду (горячее водоснабжение)</v>
      </c>
      <c r="G129" s="1447"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1148</v>
      </c>
      <c r="D130" s="1472"/>
      <c r="E130" s="1250"/>
      <c r="F130" s="1411"/>
      <c r="G130" s="1447"/>
      <c r="H130" s="823"/>
      <c r="I130" s="52" t="s">
        <v>1147</v>
      </c>
      <c r="J130" s="111"/>
      <c r="K130" s="823"/>
      <c r="L130" s="108"/>
      <c r="M130" s="201"/>
      <c r="N130" s="196"/>
      <c r="O130" s="69"/>
      <c r="P130" s="69"/>
      <c r="AH130" s="11">
        <v>0</v>
      </c>
    </row>
    <row r="131" spans="1:34" s="11" customFormat="1" ht="0.75" hidden="1" customHeight="1">
      <c r="A131" s="34"/>
      <c r="B131" s="34"/>
      <c r="C131" s="4" t="s">
        <v>1155</v>
      </c>
      <c r="D131" s="1472"/>
      <c r="E131" s="1250"/>
      <c r="F131" s="1411"/>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72"/>
      <c r="E132" s="1250"/>
      <c r="F132" s="1411" t="str">
        <f>INDEX(PT_DIFFERENTIATION_VTAR,MATCH(A132,PT_DIFFERENTIATION_VTAR_ID,0))</f>
        <v>Тариф на транспортировку горячей воды</v>
      </c>
      <c r="G132" s="1447"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1148</v>
      </c>
      <c r="D133" s="1472"/>
      <c r="E133" s="1250"/>
      <c r="F133" s="1411"/>
      <c r="G133" s="1447"/>
      <c r="H133" s="823"/>
      <c r="I133" s="52" t="s">
        <v>1147</v>
      </c>
      <c r="J133" s="111"/>
      <c r="K133" s="823"/>
      <c r="L133" s="108"/>
      <c r="M133" s="201"/>
      <c r="N133" s="196"/>
      <c r="O133" s="69"/>
      <c r="P133" s="69"/>
      <c r="AH133" s="11">
        <v>0</v>
      </c>
    </row>
    <row r="134" spans="1:34" s="11" customFormat="1" ht="0.75" hidden="1" customHeight="1">
      <c r="A134" s="34"/>
      <c r="B134" s="34"/>
      <c r="C134" s="4" t="s">
        <v>1155</v>
      </c>
      <c r="D134" s="1472"/>
      <c r="E134" s="1250"/>
      <c r="F134" s="1411"/>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72"/>
      <c r="E135" s="1250"/>
      <c r="F135" s="1411"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47"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1148</v>
      </c>
      <c r="D136" s="1472"/>
      <c r="E136" s="1250"/>
      <c r="F136" s="1411"/>
      <c r="G136" s="1447"/>
      <c r="H136" s="823"/>
      <c r="I136" s="52" t="s">
        <v>1147</v>
      </c>
      <c r="J136" s="111"/>
      <c r="K136" s="823"/>
      <c r="L136" s="108"/>
      <c r="M136" s="201"/>
      <c r="N136" s="196"/>
      <c r="O136" s="69"/>
      <c r="P136" s="69"/>
      <c r="AH136" s="11">
        <v>0</v>
      </c>
    </row>
    <row r="137" spans="1:34" s="11" customFormat="1" ht="0.75" hidden="1" customHeight="1">
      <c r="A137" s="34"/>
      <c r="B137" s="34"/>
      <c r="C137" s="4" t="s">
        <v>1155</v>
      </c>
      <c r="D137" s="1472"/>
      <c r="E137" s="1250"/>
      <c r="F137" s="1411"/>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72"/>
      <c r="E138" s="1250"/>
      <c r="F138" s="1411" t="str">
        <f>INDEX(PT_DIFFERENTIATION_VTAR,MATCH(A138,PT_DIFFERENTIATION_VTAR_ID,0))</f>
        <v>Тариф на водоотведение</v>
      </c>
      <c r="G138" s="1447"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1148</v>
      </c>
      <c r="D139" s="1472"/>
      <c r="E139" s="1250"/>
      <c r="F139" s="1411"/>
      <c r="G139" s="1447"/>
      <c r="H139" s="823"/>
      <c r="I139" s="52" t="s">
        <v>1147</v>
      </c>
      <c r="J139" s="111"/>
      <c r="K139" s="823"/>
      <c r="L139" s="108"/>
      <c r="M139" s="201"/>
      <c r="N139" s="196"/>
      <c r="O139" s="69"/>
      <c r="P139" s="69"/>
      <c r="AH139" s="11">
        <v>0</v>
      </c>
    </row>
    <row r="140" spans="1:34" s="11" customFormat="1" ht="0.75" hidden="1" customHeight="1">
      <c r="A140" s="34"/>
      <c r="B140" s="34"/>
      <c r="C140" s="4" t="s">
        <v>1155</v>
      </c>
      <c r="D140" s="1472"/>
      <c r="E140" s="1250"/>
      <c r="F140" s="1411"/>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72"/>
      <c r="E141" s="1250"/>
      <c r="F141" s="1411" t="str">
        <f>INDEX(PT_DIFFERENTIATION_VTAR,MATCH(A141,PT_DIFFERENTIATION_VTAR_ID,0))</f>
        <v>Тариф на транспортировку сточных вод</v>
      </c>
      <c r="G141" s="1447" t="str">
        <f>INDEX(PT_DIFFERENTIATION_NTAR,MATCH(B141,PT_DIFFERENTIATION_NTAR_ID,0))</f>
        <v>Транспортировка сточных вод</v>
      </c>
      <c r="H141" s="763"/>
      <c r="I141" s="948"/>
      <c r="J141" s="974"/>
      <c r="K141" s="366"/>
      <c r="L141" s="763" t="s">
        <v>310</v>
      </c>
      <c r="M141" s="201"/>
      <c r="N141" s="196"/>
      <c r="O141" s="69"/>
      <c r="P141" s="69"/>
      <c r="AH141" s="11">
        <v>0</v>
      </c>
    </row>
    <row r="142" spans="1:34" s="11" customFormat="1" ht="18.75" hidden="1" customHeight="1">
      <c r="A142" s="34"/>
      <c r="B142" s="34"/>
      <c r="C142" s="4" t="s">
        <v>1148</v>
      </c>
      <c r="D142" s="1472"/>
      <c r="E142" s="1250"/>
      <c r="F142" s="1411"/>
      <c r="G142" s="1447"/>
      <c r="H142" s="823"/>
      <c r="I142" s="52" t="s">
        <v>1147</v>
      </c>
      <c r="J142" s="111"/>
      <c r="K142" s="823"/>
      <c r="L142" s="108"/>
      <c r="M142" s="201"/>
      <c r="N142" s="196"/>
      <c r="O142" s="69"/>
      <c r="P142" s="69"/>
      <c r="AH142" s="11">
        <v>0</v>
      </c>
    </row>
    <row r="143" spans="1:34" s="11" customFormat="1" ht="0.75" hidden="1" customHeight="1">
      <c r="A143" s="34"/>
      <c r="B143" s="34"/>
      <c r="C143" s="4" t="s">
        <v>1155</v>
      </c>
      <c r="D143" s="1472"/>
      <c r="E143" s="1250"/>
      <c r="F143" s="1411"/>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72"/>
      <c r="E144" s="1250"/>
      <c r="F144" s="1411" t="str">
        <f>INDEX(PT_DIFFERENTIATION_VTAR,MATCH(A144,PT_DIFFERENTIATION_VTAR_ID,0))</f>
        <v>Тариф на подключение (технологическое присоединение) к централизованной системе водоотведения</v>
      </c>
      <c r="G144" s="1447"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1148</v>
      </c>
      <c r="D145" s="1472"/>
      <c r="E145" s="1250"/>
      <c r="F145" s="1411"/>
      <c r="G145" s="1447"/>
      <c r="H145" s="823"/>
      <c r="I145" s="52" t="s">
        <v>1147</v>
      </c>
      <c r="J145" s="111"/>
      <c r="K145" s="823"/>
      <c r="L145" s="108"/>
      <c r="M145" s="201"/>
      <c r="N145" s="196"/>
      <c r="O145" s="69"/>
      <c r="P145" s="69"/>
      <c r="AH145" s="11">
        <v>0</v>
      </c>
    </row>
    <row r="146" spans="1:34" s="11" customFormat="1" ht="1.05" customHeight="1">
      <c r="A146" s="34"/>
      <c r="B146" s="34"/>
      <c r="C146" s="4" t="s">
        <v>1155</v>
      </c>
      <c r="D146" s="1472"/>
      <c r="E146" s="1250"/>
      <c r="F146" s="1411"/>
      <c r="G146" s="227"/>
      <c r="H146" s="823"/>
      <c r="I146" s="52"/>
      <c r="J146" s="111"/>
      <c r="K146" s="823"/>
      <c r="L146" s="108"/>
      <c r="M146" s="201"/>
      <c r="N146" s="196"/>
      <c r="O146" s="69"/>
      <c r="P146" s="69"/>
      <c r="AH146" s="11">
        <v>1</v>
      </c>
    </row>
    <row r="147" spans="1:34" ht="19.95" customHeight="1">
      <c r="A147" s="34"/>
      <c r="B147" s="34"/>
      <c r="D147" s="28"/>
      <c r="E147" s="64" t="s">
        <v>92</v>
      </c>
      <c r="F147" s="1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71"/>
      <c r="H147" s="1471"/>
      <c r="I147" s="1471"/>
      <c r="J147" s="1471"/>
      <c r="K147" s="1471"/>
      <c r="L147" s="1471"/>
      <c r="M147" s="114"/>
      <c r="N147" s="196"/>
      <c r="AH147" s="11">
        <v>19</v>
      </c>
    </row>
    <row r="148" spans="1:34" s="11" customFormat="1" ht="60.75" hidden="1" customHeight="1">
      <c r="A148" s="34" t="s">
        <v>156</v>
      </c>
      <c r="B148" s="34" t="s">
        <v>157</v>
      </c>
      <c r="C148" s="4"/>
      <c r="D148" s="1472"/>
      <c r="E148" s="1250"/>
      <c r="F148" s="141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47" t="str">
        <f>INDEX(PT_DIFFERENTIATION_NTAR,MATCH(B148,PT_DIFFERENTIATION_NTAR_ID,0))</f>
        <v/>
      </c>
      <c r="H148" s="763"/>
      <c r="I148" s="948"/>
      <c r="J148" s="974"/>
      <c r="K148" s="366"/>
      <c r="L148" s="763" t="s">
        <v>310</v>
      </c>
      <c r="M148"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72"/>
      <c r="E149" s="1250"/>
      <c r="F149" s="1411"/>
      <c r="G149" s="1447"/>
      <c r="H149" s="823"/>
      <c r="I149" s="52" t="s">
        <v>1147</v>
      </c>
      <c r="J149" s="111"/>
      <c r="K149" s="823"/>
      <c r="L149" s="108"/>
      <c r="M149" s="1205"/>
      <c r="N149" s="196"/>
      <c r="O149" s="69"/>
      <c r="P149" s="69"/>
      <c r="AH149" s="11">
        <v>0</v>
      </c>
    </row>
    <row r="150" spans="1:34" s="11" customFormat="1" ht="0.75" hidden="1" customHeight="1">
      <c r="A150" s="34"/>
      <c r="B150" s="34"/>
      <c r="C150" s="4" t="s">
        <v>1155</v>
      </c>
      <c r="D150" s="1472"/>
      <c r="E150" s="1250"/>
      <c r="F150" s="1411"/>
      <c r="G150" s="227"/>
      <c r="H150" s="823"/>
      <c r="I150" s="52"/>
      <c r="J150" s="111"/>
      <c r="K150" s="823"/>
      <c r="L150" s="108"/>
      <c r="M150" s="1205"/>
      <c r="N150" s="196"/>
      <c r="O150" s="69"/>
      <c r="P150" s="69"/>
      <c r="AH150" s="11">
        <v>0</v>
      </c>
    </row>
    <row r="151" spans="1:34" s="11" customFormat="1" ht="45" hidden="1" customHeight="1">
      <c r="A151" s="34" t="s">
        <v>161</v>
      </c>
      <c r="B151" s="34" t="s">
        <v>162</v>
      </c>
      <c r="C151" s="4"/>
      <c r="D151" s="1472"/>
      <c r="E151" s="1250"/>
      <c r="F151" s="1411" t="str">
        <f>INDEX(PT_DIFFERENTIATION_VTAR,MATCH(A151,PT_DIFFERENTIATION_VTAR_ID,0))</f>
        <v/>
      </c>
      <c r="G151" s="1447" t="str">
        <f>INDEX(PT_DIFFERENTIATION_NTAR,MATCH(B151,PT_DIFFERENTIATION_NTAR_ID,0))</f>
        <v/>
      </c>
      <c r="H151" s="763"/>
      <c r="I151" s="948"/>
      <c r="J151" s="974"/>
      <c r="K151" s="366"/>
      <c r="L151" s="763" t="s">
        <v>310</v>
      </c>
      <c r="M151" s="1206"/>
      <c r="N151" s="196"/>
      <c r="O151" s="69"/>
      <c r="P151" s="69"/>
      <c r="AH151" s="11">
        <v>0</v>
      </c>
    </row>
    <row r="152" spans="1:34" s="11" customFormat="1" ht="18.75" hidden="1" customHeight="1">
      <c r="A152" s="34"/>
      <c r="B152" s="34"/>
      <c r="C152" s="4" t="s">
        <v>1148</v>
      </c>
      <c r="D152" s="1472"/>
      <c r="E152" s="1250"/>
      <c r="F152" s="1411"/>
      <c r="G152" s="1447"/>
      <c r="H152" s="823"/>
      <c r="I152" s="52" t="s">
        <v>1147</v>
      </c>
      <c r="J152" s="111"/>
      <c r="K152" s="823"/>
      <c r="L152" s="108"/>
      <c r="M152" s="1006"/>
      <c r="N152" s="196"/>
      <c r="O152" s="69"/>
      <c r="P152" s="69"/>
      <c r="AH152" s="11">
        <v>0</v>
      </c>
    </row>
    <row r="153" spans="1:34" s="11" customFormat="1" ht="0.75" hidden="1" customHeight="1">
      <c r="A153" s="34"/>
      <c r="B153" s="34"/>
      <c r="C153" s="4" t="s">
        <v>1155</v>
      </c>
      <c r="D153" s="1472"/>
      <c r="E153" s="1250"/>
      <c r="F153" s="1411"/>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72"/>
      <c r="E154" s="1250"/>
      <c r="F154" s="141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47"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1148</v>
      </c>
      <c r="D155" s="1472"/>
      <c r="E155" s="1250"/>
      <c r="F155" s="1411"/>
      <c r="G155" s="1447"/>
      <c r="H155" s="823"/>
      <c r="I155" s="52" t="s">
        <v>1147</v>
      </c>
      <c r="J155" s="111"/>
      <c r="K155" s="823"/>
      <c r="L155" s="108"/>
      <c r="M155" s="201"/>
      <c r="N155" s="196"/>
      <c r="O155" s="69"/>
      <c r="P155" s="69"/>
      <c r="AH155" s="11">
        <v>0</v>
      </c>
    </row>
    <row r="156" spans="1:34" s="11" customFormat="1" ht="0.75" hidden="1" customHeight="1">
      <c r="A156" s="34"/>
      <c r="B156" s="34"/>
      <c r="C156" s="4" t="s">
        <v>1155</v>
      </c>
      <c r="D156" s="1472"/>
      <c r="E156" s="1250"/>
      <c r="F156" s="1411"/>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72"/>
      <c r="E157" s="1250"/>
      <c r="F157" s="141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47"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1148</v>
      </c>
      <c r="D158" s="1472"/>
      <c r="E158" s="1250"/>
      <c r="F158" s="1411"/>
      <c r="G158" s="1447"/>
      <c r="H158" s="823"/>
      <c r="I158" s="52" t="s">
        <v>1147</v>
      </c>
      <c r="J158" s="111"/>
      <c r="K158" s="823"/>
      <c r="L158" s="108"/>
      <c r="M158" s="201"/>
      <c r="N158" s="196"/>
      <c r="O158" s="69"/>
      <c r="P158" s="69"/>
      <c r="AH158" s="11">
        <v>0</v>
      </c>
    </row>
    <row r="159" spans="1:34" s="11" customFormat="1" ht="0.75" hidden="1" customHeight="1">
      <c r="A159" s="34"/>
      <c r="B159" s="34"/>
      <c r="C159" s="4" t="s">
        <v>1155</v>
      </c>
      <c r="D159" s="1472"/>
      <c r="E159" s="1250"/>
      <c r="F159" s="1411"/>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72"/>
      <c r="E160" s="1250"/>
      <c r="F160" s="1411" t="str">
        <f>INDEX(PT_DIFFERENTIATION_VTAR,MATCH(A160,PT_DIFFERENTIATION_VTAR_ID,0))</f>
        <v>Тарифы на услуги по передаче тепловой энергии</v>
      </c>
      <c r="G160" s="1447"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1148</v>
      </c>
      <c r="D161" s="1472"/>
      <c r="E161" s="1250"/>
      <c r="F161" s="1411"/>
      <c r="G161" s="1447"/>
      <c r="H161" s="823"/>
      <c r="I161" s="52" t="s">
        <v>1147</v>
      </c>
      <c r="J161" s="111"/>
      <c r="K161" s="823"/>
      <c r="L161" s="108"/>
      <c r="M161" s="201"/>
      <c r="N161" s="196"/>
      <c r="O161" s="69"/>
      <c r="P161" s="69"/>
      <c r="AH161" s="11">
        <v>0</v>
      </c>
    </row>
    <row r="162" spans="1:34" s="11" customFormat="1" ht="0.75" hidden="1" customHeight="1">
      <c r="A162" s="34"/>
      <c r="B162" s="34"/>
      <c r="C162" s="4" t="s">
        <v>1155</v>
      </c>
      <c r="D162" s="1472"/>
      <c r="E162" s="1250"/>
      <c r="F162" s="1411"/>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72"/>
      <c r="E163" s="1250"/>
      <c r="F163" s="1411" t="str">
        <f>INDEX(PT_DIFFERENTIATION_VTAR,MATCH(A163,PT_DIFFERENTIATION_VTAR_ID,0))</f>
        <v>Тарифы на услуги по передаче теплоносителя</v>
      </c>
      <c r="G163" s="1447"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1148</v>
      </c>
      <c r="D164" s="1472"/>
      <c r="E164" s="1250"/>
      <c r="F164" s="1411"/>
      <c r="G164" s="1447"/>
      <c r="H164" s="823"/>
      <c r="I164" s="52" t="s">
        <v>1147</v>
      </c>
      <c r="J164" s="111"/>
      <c r="K164" s="823"/>
      <c r="L164" s="108"/>
      <c r="M164" s="201"/>
      <c r="N164" s="196"/>
      <c r="O164" s="69"/>
      <c r="P164" s="69"/>
      <c r="AH164" s="11">
        <v>0</v>
      </c>
    </row>
    <row r="165" spans="1:34" s="11" customFormat="1" ht="0.75" hidden="1" customHeight="1">
      <c r="A165" s="34"/>
      <c r="B165" s="34"/>
      <c r="C165" s="4" t="s">
        <v>1155</v>
      </c>
      <c r="D165" s="1472"/>
      <c r="E165" s="1250"/>
      <c r="F165" s="1411"/>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72"/>
      <c r="E166" s="1250"/>
      <c r="F166" s="141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47"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1148</v>
      </c>
      <c r="D167" s="1472"/>
      <c r="E167" s="1250"/>
      <c r="F167" s="1411"/>
      <c r="G167" s="1447"/>
      <c r="H167" s="823"/>
      <c r="I167" s="52" t="s">
        <v>1147</v>
      </c>
      <c r="J167" s="111"/>
      <c r="K167" s="823"/>
      <c r="L167" s="108"/>
      <c r="M167" s="201"/>
      <c r="N167" s="196"/>
      <c r="O167" s="69"/>
      <c r="P167" s="69"/>
      <c r="AH167" s="11">
        <v>0</v>
      </c>
    </row>
    <row r="168" spans="1:34" s="11" customFormat="1" ht="0.75" hidden="1" customHeight="1">
      <c r="A168" s="34"/>
      <c r="B168" s="34"/>
      <c r="C168" s="4" t="s">
        <v>1155</v>
      </c>
      <c r="D168" s="1472"/>
      <c r="E168" s="1250"/>
      <c r="F168" s="1411"/>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72"/>
      <c r="E169" s="1250"/>
      <c r="F169" s="1411" t="str">
        <f>INDEX(PT_DIFFERENTIATION_VTAR,MATCH(A169,PT_DIFFERENTIATION_VTAR_ID,0))</f>
        <v>Плата за подключение (технологическое присоединение) к системе теплоснабжения</v>
      </c>
      <c r="G169" s="1447"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1148</v>
      </c>
      <c r="D170" s="1472"/>
      <c r="E170" s="1250"/>
      <c r="F170" s="1411"/>
      <c r="G170" s="1447"/>
      <c r="H170" s="823"/>
      <c r="I170" s="52" t="s">
        <v>1147</v>
      </c>
      <c r="J170" s="111"/>
      <c r="K170" s="823"/>
      <c r="L170" s="108"/>
      <c r="M170" s="201"/>
      <c r="N170" s="196"/>
      <c r="O170" s="69"/>
      <c r="P170" s="69"/>
      <c r="AH170" s="11">
        <v>0</v>
      </c>
    </row>
    <row r="171" spans="1:34" s="11" customFormat="1" ht="0.75" hidden="1" customHeight="1">
      <c r="A171" s="34"/>
      <c r="B171" s="34"/>
      <c r="C171" s="4" t="s">
        <v>1155</v>
      </c>
      <c r="D171" s="1472"/>
      <c r="E171" s="1250"/>
      <c r="F171" s="1411"/>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72"/>
      <c r="E172" s="1250"/>
      <c r="F172" s="1411" t="str">
        <f>INDEX(PT_DIFFERENTIATION_VTAR,MATCH(A172,PT_DIFFERENTIATION_VTAR_ID,0))</f>
        <v>Плата за подключение (технологическое присоединение) к системе теплоснабжения (индивидуальная)</v>
      </c>
      <c r="G172" s="1447"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1148</v>
      </c>
      <c r="D173" s="1472"/>
      <c r="E173" s="1250"/>
      <c r="F173" s="1411"/>
      <c r="G173" s="1447"/>
      <c r="H173" s="823"/>
      <c r="I173" s="52" t="s">
        <v>1147</v>
      </c>
      <c r="J173" s="111"/>
      <c r="K173" s="823"/>
      <c r="L173" s="108"/>
      <c r="M173" s="201"/>
      <c r="N173" s="196"/>
      <c r="O173" s="69"/>
      <c r="P173" s="69"/>
      <c r="AH173" s="11">
        <v>0</v>
      </c>
    </row>
    <row r="174" spans="1:34" s="11" customFormat="1" ht="0.75" hidden="1" customHeight="1">
      <c r="A174" s="34"/>
      <c r="B174" s="34"/>
      <c r="C174" s="4" t="s">
        <v>1155</v>
      </c>
      <c r="D174" s="1472"/>
      <c r="E174" s="1250"/>
      <c r="F174" s="1411"/>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72"/>
      <c r="E175" s="1250"/>
      <c r="F175" s="1411" t="str">
        <f>INDEX(PT_DIFFERENTIATION_VTAR,MATCH(A175,PT_DIFFERENTIATION_VTAR_ID,0))</f>
        <v>Тариф на питьевую воду (питьевое водоснабжение)</v>
      </c>
      <c r="G175" s="1447"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1148</v>
      </c>
      <c r="D176" s="1472"/>
      <c r="E176" s="1250"/>
      <c r="F176" s="1411"/>
      <c r="G176" s="1447"/>
      <c r="H176" s="823"/>
      <c r="I176" s="52" t="s">
        <v>1147</v>
      </c>
      <c r="J176" s="111"/>
      <c r="K176" s="823"/>
      <c r="L176" s="108"/>
      <c r="M176" s="201"/>
      <c r="N176" s="196"/>
      <c r="O176" s="69"/>
      <c r="P176" s="69"/>
      <c r="AH176" s="11">
        <v>0</v>
      </c>
    </row>
    <row r="177" spans="1:34" s="11" customFormat="1" ht="0.75" hidden="1" customHeight="1">
      <c r="A177" s="34"/>
      <c r="B177" s="34"/>
      <c r="C177" s="4" t="s">
        <v>1155</v>
      </c>
      <c r="D177" s="1472"/>
      <c r="E177" s="1250"/>
      <c r="F177" s="1411"/>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72"/>
      <c r="E178" s="1250"/>
      <c r="F178" s="1411" t="str">
        <f>INDEX(PT_DIFFERENTIATION_VTAR,MATCH(A178,PT_DIFFERENTIATION_VTAR_ID,0))</f>
        <v>Тариф на техническую воду</v>
      </c>
      <c r="G178" s="1447"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1148</v>
      </c>
      <c r="D179" s="1472"/>
      <c r="E179" s="1250"/>
      <c r="F179" s="1411"/>
      <c r="G179" s="1447"/>
      <c r="H179" s="823"/>
      <c r="I179" s="52" t="s">
        <v>1147</v>
      </c>
      <c r="J179" s="111"/>
      <c r="K179" s="823"/>
      <c r="L179" s="108"/>
      <c r="M179" s="201"/>
      <c r="N179" s="196"/>
      <c r="O179" s="69"/>
      <c r="P179" s="69"/>
      <c r="AH179" s="11">
        <v>0</v>
      </c>
    </row>
    <row r="180" spans="1:34" s="11" customFormat="1" ht="0.75" hidden="1" customHeight="1">
      <c r="A180" s="34"/>
      <c r="B180" s="34"/>
      <c r="C180" s="4" t="s">
        <v>1155</v>
      </c>
      <c r="D180" s="1472"/>
      <c r="E180" s="1250"/>
      <c r="F180" s="1411"/>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72"/>
      <c r="E181" s="1250"/>
      <c r="F181" s="1411" t="str">
        <f>INDEX(PT_DIFFERENTIATION_VTAR,MATCH(A181,PT_DIFFERENTIATION_VTAR_ID,0))</f>
        <v>Тариф на транспортировку воды</v>
      </c>
      <c r="G181" s="1447"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1148</v>
      </c>
      <c r="D182" s="1472"/>
      <c r="E182" s="1250"/>
      <c r="F182" s="1411"/>
      <c r="G182" s="1447"/>
      <c r="H182" s="823"/>
      <c r="I182" s="52" t="s">
        <v>1147</v>
      </c>
      <c r="J182" s="111"/>
      <c r="K182" s="823"/>
      <c r="L182" s="108"/>
      <c r="M182" s="201"/>
      <c r="N182" s="196"/>
      <c r="O182" s="69"/>
      <c r="P182" s="69"/>
      <c r="AH182" s="11">
        <v>0</v>
      </c>
    </row>
    <row r="183" spans="1:34" s="11" customFormat="1" ht="0.75" hidden="1" customHeight="1">
      <c r="A183" s="34"/>
      <c r="B183" s="34"/>
      <c r="C183" s="4" t="s">
        <v>1155</v>
      </c>
      <c r="D183" s="1472"/>
      <c r="E183" s="1250"/>
      <c r="F183" s="1411"/>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72"/>
      <c r="E184" s="1250"/>
      <c r="F184" s="1411" t="str">
        <f>INDEX(PT_DIFFERENTIATION_VTAR,MATCH(A184,PT_DIFFERENTIATION_VTAR_ID,0))</f>
        <v>Тариф на подвоз воды</v>
      </c>
      <c r="G184" s="1447"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1148</v>
      </c>
      <c r="D185" s="1472"/>
      <c r="E185" s="1250"/>
      <c r="F185" s="1411"/>
      <c r="G185" s="1447"/>
      <c r="H185" s="823"/>
      <c r="I185" s="52" t="s">
        <v>1147</v>
      </c>
      <c r="J185" s="111"/>
      <c r="K185" s="823"/>
      <c r="L185" s="108"/>
      <c r="M185" s="201"/>
      <c r="N185" s="196"/>
      <c r="O185" s="69"/>
      <c r="P185" s="69"/>
      <c r="AH185" s="11">
        <v>0</v>
      </c>
    </row>
    <row r="186" spans="1:34" s="11" customFormat="1" ht="0.75" hidden="1" customHeight="1">
      <c r="A186" s="34"/>
      <c r="B186" s="34"/>
      <c r="C186" s="4" t="s">
        <v>1155</v>
      </c>
      <c r="D186" s="1472"/>
      <c r="E186" s="1250"/>
      <c r="F186" s="1411"/>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72"/>
      <c r="E187" s="1250"/>
      <c r="F187" s="141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47"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1148</v>
      </c>
      <c r="D188" s="1472"/>
      <c r="E188" s="1250"/>
      <c r="F188" s="1411"/>
      <c r="G188" s="1447"/>
      <c r="H188" s="823"/>
      <c r="I188" s="52" t="s">
        <v>1147</v>
      </c>
      <c r="J188" s="111"/>
      <c r="K188" s="823"/>
      <c r="L188" s="108"/>
      <c r="M188" s="201"/>
      <c r="N188" s="196"/>
      <c r="O188" s="69"/>
      <c r="P188" s="69"/>
      <c r="AH188" s="11">
        <v>0</v>
      </c>
    </row>
    <row r="189" spans="1:34" s="11" customFormat="1" ht="0.75" hidden="1" customHeight="1">
      <c r="A189" s="34"/>
      <c r="B189" s="34"/>
      <c r="C189" s="4" t="s">
        <v>1155</v>
      </c>
      <c r="D189" s="1472"/>
      <c r="E189" s="1250"/>
      <c r="F189" s="1411"/>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72"/>
      <c r="E190" s="1250"/>
      <c r="F190" s="1411" t="str">
        <f>INDEX(PT_DIFFERENTIATION_VTAR,MATCH(A190,PT_DIFFERENTIATION_VTAR_ID,0))</f>
        <v>Тариф на горячую воду (горячее водоснабжение)</v>
      </c>
      <c r="G190" s="1447"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1148</v>
      </c>
      <c r="D191" s="1472"/>
      <c r="E191" s="1250"/>
      <c r="F191" s="1411"/>
      <c r="G191" s="1447"/>
      <c r="H191" s="823"/>
      <c r="I191" s="52" t="s">
        <v>1147</v>
      </c>
      <c r="J191" s="111"/>
      <c r="K191" s="823"/>
      <c r="L191" s="108"/>
      <c r="M191" s="201"/>
      <c r="N191" s="196"/>
      <c r="O191" s="69"/>
      <c r="P191" s="69"/>
      <c r="AH191" s="11">
        <v>0</v>
      </c>
    </row>
    <row r="192" spans="1:34" s="11" customFormat="1" ht="0.75" hidden="1" customHeight="1">
      <c r="A192" s="34"/>
      <c r="B192" s="34"/>
      <c r="C192" s="4" t="s">
        <v>1155</v>
      </c>
      <c r="D192" s="1472"/>
      <c r="E192" s="1250"/>
      <c r="F192" s="1411"/>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72"/>
      <c r="E193" s="1250"/>
      <c r="F193" s="1411" t="str">
        <f>INDEX(PT_DIFFERENTIATION_VTAR,MATCH(A193,PT_DIFFERENTIATION_VTAR_ID,0))</f>
        <v>Тариф на транспортировку горячей воды</v>
      </c>
      <c r="G193" s="1447"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1148</v>
      </c>
      <c r="D194" s="1472"/>
      <c r="E194" s="1250"/>
      <c r="F194" s="1411"/>
      <c r="G194" s="1447"/>
      <c r="H194" s="823"/>
      <c r="I194" s="52" t="s">
        <v>1147</v>
      </c>
      <c r="J194" s="111"/>
      <c r="K194" s="823"/>
      <c r="L194" s="108"/>
      <c r="M194" s="201"/>
      <c r="N194" s="196"/>
      <c r="O194" s="69"/>
      <c r="P194" s="69"/>
      <c r="AH194" s="11">
        <v>0</v>
      </c>
    </row>
    <row r="195" spans="1:34" s="11" customFormat="1" ht="0.75" hidden="1" customHeight="1">
      <c r="A195" s="34"/>
      <c r="B195" s="34"/>
      <c r="C195" s="4" t="s">
        <v>1155</v>
      </c>
      <c r="D195" s="1472"/>
      <c r="E195" s="1250"/>
      <c r="F195" s="1411"/>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72"/>
      <c r="E196" s="1250"/>
      <c r="F196" s="1411"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47"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1148</v>
      </c>
      <c r="D197" s="1472"/>
      <c r="E197" s="1250"/>
      <c r="F197" s="1411"/>
      <c r="G197" s="1447"/>
      <c r="H197" s="823"/>
      <c r="I197" s="52" t="s">
        <v>1147</v>
      </c>
      <c r="J197" s="111"/>
      <c r="K197" s="823"/>
      <c r="L197" s="108"/>
      <c r="M197" s="201"/>
      <c r="N197" s="196"/>
      <c r="O197" s="69"/>
      <c r="P197" s="69"/>
      <c r="AH197" s="11">
        <v>0</v>
      </c>
    </row>
    <row r="198" spans="1:34" s="11" customFormat="1" ht="0.75" hidden="1" customHeight="1">
      <c r="A198" s="34"/>
      <c r="B198" s="34"/>
      <c r="C198" s="4" t="s">
        <v>1155</v>
      </c>
      <c r="D198" s="1472"/>
      <c r="E198" s="1250"/>
      <c r="F198" s="1411"/>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72"/>
      <c r="E199" s="1250"/>
      <c r="F199" s="1411" t="str">
        <f>INDEX(PT_DIFFERENTIATION_VTAR,MATCH(A199,PT_DIFFERENTIATION_VTAR_ID,0))</f>
        <v>Тариф на водоотведение</v>
      </c>
      <c r="G199" s="1447"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1148</v>
      </c>
      <c r="D200" s="1472"/>
      <c r="E200" s="1250"/>
      <c r="F200" s="1411"/>
      <c r="G200" s="1447"/>
      <c r="H200" s="823"/>
      <c r="I200" s="52" t="s">
        <v>1147</v>
      </c>
      <c r="J200" s="111"/>
      <c r="K200" s="823"/>
      <c r="L200" s="108"/>
      <c r="M200" s="201"/>
      <c r="N200" s="196"/>
      <c r="O200" s="69"/>
      <c r="P200" s="69"/>
      <c r="AH200" s="11">
        <v>0</v>
      </c>
    </row>
    <row r="201" spans="1:34" s="11" customFormat="1" ht="0.75" hidden="1" customHeight="1">
      <c r="A201" s="34"/>
      <c r="B201" s="34"/>
      <c r="C201" s="4" t="s">
        <v>1155</v>
      </c>
      <c r="D201" s="1472"/>
      <c r="E201" s="1250"/>
      <c r="F201" s="1411"/>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72"/>
      <c r="E202" s="1250"/>
      <c r="F202" s="1411" t="str">
        <f>INDEX(PT_DIFFERENTIATION_VTAR,MATCH(A202,PT_DIFFERENTIATION_VTAR_ID,0))</f>
        <v>Тариф на транспортировку сточных вод</v>
      </c>
      <c r="G202" s="1447" t="str">
        <f>INDEX(PT_DIFFERENTIATION_NTAR,MATCH(B202,PT_DIFFERENTIATION_NTAR_ID,0))</f>
        <v>Транспортировка сточных вод</v>
      </c>
      <c r="H202" s="763"/>
      <c r="I202" s="948"/>
      <c r="J202" s="974"/>
      <c r="K202" s="366"/>
      <c r="L202" s="763" t="s">
        <v>310</v>
      </c>
      <c r="M202" s="201"/>
      <c r="N202" s="196"/>
      <c r="O202" s="69"/>
      <c r="P202" s="69"/>
      <c r="AH202" s="11">
        <v>0</v>
      </c>
    </row>
    <row r="203" spans="1:34" s="11" customFormat="1" ht="18.75" hidden="1" customHeight="1">
      <c r="A203" s="34"/>
      <c r="B203" s="34"/>
      <c r="C203" s="4" t="s">
        <v>1148</v>
      </c>
      <c r="D203" s="1472"/>
      <c r="E203" s="1250"/>
      <c r="F203" s="1411"/>
      <c r="G203" s="1447"/>
      <c r="H203" s="823"/>
      <c r="I203" s="52" t="s">
        <v>1147</v>
      </c>
      <c r="J203" s="111"/>
      <c r="K203" s="823"/>
      <c r="L203" s="108"/>
      <c r="M203" s="201"/>
      <c r="N203" s="196"/>
      <c r="O203" s="69"/>
      <c r="P203" s="69"/>
      <c r="AH203" s="11">
        <v>0</v>
      </c>
    </row>
    <row r="204" spans="1:34" s="11" customFormat="1" ht="0.75" hidden="1" customHeight="1">
      <c r="A204" s="34"/>
      <c r="B204" s="34"/>
      <c r="C204" s="4" t="s">
        <v>1155</v>
      </c>
      <c r="D204" s="1472"/>
      <c r="E204" s="1250"/>
      <c r="F204" s="1411"/>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72"/>
      <c r="E205" s="1250"/>
      <c r="F205" s="1411" t="str">
        <f>INDEX(PT_DIFFERENTIATION_VTAR,MATCH(A205,PT_DIFFERENTIATION_VTAR_ID,0))</f>
        <v>Тариф на подключение (технологическое присоединение) к централизованной системе водоотведения</v>
      </c>
      <c r="G205" s="1447"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1148</v>
      </c>
      <c r="D206" s="1472"/>
      <c r="E206" s="1250"/>
      <c r="F206" s="1411"/>
      <c r="G206" s="1447"/>
      <c r="H206" s="823"/>
      <c r="I206" s="52" t="s">
        <v>1147</v>
      </c>
      <c r="J206" s="111"/>
      <c r="K206" s="823"/>
      <c r="L206" s="108"/>
      <c r="M206" s="201"/>
      <c r="N206" s="196"/>
      <c r="O206" s="69"/>
      <c r="P206" s="69"/>
      <c r="AH206" s="11">
        <v>0</v>
      </c>
    </row>
    <row r="207" spans="1:34" s="11" customFormat="1" ht="1.05" customHeight="1">
      <c r="A207" s="34"/>
      <c r="B207" s="34"/>
      <c r="C207" s="4" t="s">
        <v>1155</v>
      </c>
      <c r="D207" s="1472"/>
      <c r="E207" s="1250"/>
      <c r="F207" s="1411"/>
      <c r="G207" s="227"/>
      <c r="H207" s="823"/>
      <c r="I207" s="52"/>
      <c r="J207" s="111"/>
      <c r="K207" s="823"/>
      <c r="L207" s="108"/>
      <c r="M207" s="201"/>
      <c r="N207" s="196"/>
      <c r="O207" s="69"/>
      <c r="P207" s="69"/>
      <c r="AH207" s="11">
        <v>1</v>
      </c>
    </row>
    <row r="208" spans="1:34" ht="27.3" customHeight="1">
      <c r="A208" s="34"/>
      <c r="B208" s="34"/>
      <c r="D208" s="28"/>
      <c r="E208" s="64" t="s">
        <v>112</v>
      </c>
      <c r="F208" s="1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71"/>
      <c r="H208" s="1471"/>
      <c r="I208" s="1471"/>
      <c r="J208" s="1471"/>
      <c r="K208" s="1471"/>
      <c r="L208" s="1471"/>
      <c r="M208" s="114"/>
      <c r="N208" s="196"/>
      <c r="AH208" s="11">
        <v>26</v>
      </c>
    </row>
    <row r="209" spans="1:34" s="11" customFormat="1" ht="60.75" hidden="1" customHeight="1">
      <c r="A209" s="34" t="s">
        <v>156</v>
      </c>
      <c r="B209" s="34" t="s">
        <v>157</v>
      </c>
      <c r="C209" s="4"/>
      <c r="D209" s="1472"/>
      <c r="E209" s="1250"/>
      <c r="F209" s="141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47" t="str">
        <f>INDEX(PT_DIFFERENTIATION_NTAR,MATCH(B209,PT_DIFFERENTIATION_NTAR_ID,0))</f>
        <v/>
      </c>
      <c r="H209" s="763"/>
      <c r="I209" s="948"/>
      <c r="J209" s="974"/>
      <c r="K209" s="366"/>
      <c r="L209" s="763" t="s">
        <v>310</v>
      </c>
      <c r="M209"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72"/>
      <c r="E210" s="1250"/>
      <c r="F210" s="1411"/>
      <c r="G210" s="1447"/>
      <c r="H210" s="823"/>
      <c r="I210" s="52" t="s">
        <v>1147</v>
      </c>
      <c r="J210" s="111"/>
      <c r="K210" s="823"/>
      <c r="L210" s="108"/>
      <c r="M210" s="1205"/>
      <c r="N210" s="196"/>
      <c r="O210" s="69"/>
      <c r="P210" s="69"/>
      <c r="AH210" s="11">
        <v>0</v>
      </c>
    </row>
    <row r="211" spans="1:34" s="11" customFormat="1" ht="0.75" hidden="1" customHeight="1">
      <c r="A211" s="34"/>
      <c r="B211" s="34"/>
      <c r="C211" s="4" t="s">
        <v>1155</v>
      </c>
      <c r="D211" s="1472"/>
      <c r="E211" s="1250"/>
      <c r="F211" s="1411"/>
      <c r="G211" s="227"/>
      <c r="H211" s="823"/>
      <c r="I211" s="52"/>
      <c r="J211" s="111"/>
      <c r="K211" s="823"/>
      <c r="L211" s="108"/>
      <c r="M211" s="1205"/>
      <c r="N211" s="196"/>
      <c r="O211" s="69"/>
      <c r="P211" s="69"/>
      <c r="AH211" s="11">
        <v>0</v>
      </c>
    </row>
    <row r="212" spans="1:34" s="11" customFormat="1" ht="45" hidden="1" customHeight="1">
      <c r="A212" s="34" t="s">
        <v>161</v>
      </c>
      <c r="B212" s="34" t="s">
        <v>162</v>
      </c>
      <c r="C212" s="4"/>
      <c r="D212" s="1472"/>
      <c r="E212" s="1250"/>
      <c r="F212" s="1411" t="str">
        <f>INDEX(PT_DIFFERENTIATION_VTAR,MATCH(A212,PT_DIFFERENTIATION_VTAR_ID,0))</f>
        <v/>
      </c>
      <c r="G212" s="1447" t="str">
        <f>INDEX(PT_DIFFERENTIATION_NTAR,MATCH(B212,PT_DIFFERENTIATION_NTAR_ID,0))</f>
        <v/>
      </c>
      <c r="H212" s="763"/>
      <c r="I212" s="948"/>
      <c r="J212" s="974"/>
      <c r="K212" s="366"/>
      <c r="L212" s="763" t="s">
        <v>310</v>
      </c>
      <c r="M212" s="1206"/>
      <c r="N212" s="196"/>
      <c r="O212" s="69"/>
      <c r="P212" s="69"/>
      <c r="AH212" s="11">
        <v>0</v>
      </c>
    </row>
    <row r="213" spans="1:34" s="11" customFormat="1" ht="18.75" hidden="1" customHeight="1">
      <c r="A213" s="34"/>
      <c r="B213" s="34"/>
      <c r="C213" s="4" t="s">
        <v>1148</v>
      </c>
      <c r="D213" s="1472"/>
      <c r="E213" s="1250"/>
      <c r="F213" s="1411"/>
      <c r="G213" s="1447"/>
      <c r="H213" s="823"/>
      <c r="I213" s="52" t="s">
        <v>1147</v>
      </c>
      <c r="J213" s="111"/>
      <c r="K213" s="823"/>
      <c r="L213" s="108"/>
      <c r="M213" s="1006"/>
      <c r="N213" s="196"/>
      <c r="O213" s="69"/>
      <c r="P213" s="69"/>
      <c r="AH213" s="11">
        <v>0</v>
      </c>
    </row>
    <row r="214" spans="1:34" s="11" customFormat="1" ht="0.75" hidden="1" customHeight="1">
      <c r="A214" s="34"/>
      <c r="B214" s="34"/>
      <c r="C214" s="4" t="s">
        <v>1155</v>
      </c>
      <c r="D214" s="1472"/>
      <c r="E214" s="1250"/>
      <c r="F214" s="1411"/>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72"/>
      <c r="E215" s="1250"/>
      <c r="F215" s="141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47"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1148</v>
      </c>
      <c r="D216" s="1472"/>
      <c r="E216" s="1250"/>
      <c r="F216" s="1411"/>
      <c r="G216" s="1447"/>
      <c r="H216" s="823"/>
      <c r="I216" s="52" t="s">
        <v>1147</v>
      </c>
      <c r="J216" s="111"/>
      <c r="K216" s="823"/>
      <c r="L216" s="108"/>
      <c r="M216" s="201"/>
      <c r="N216" s="196"/>
      <c r="O216" s="69"/>
      <c r="P216" s="69"/>
      <c r="AH216" s="11">
        <v>0</v>
      </c>
    </row>
    <row r="217" spans="1:34" s="11" customFormat="1" ht="0.75" hidden="1" customHeight="1">
      <c r="A217" s="34"/>
      <c r="B217" s="34"/>
      <c r="C217" s="4" t="s">
        <v>1155</v>
      </c>
      <c r="D217" s="1472"/>
      <c r="E217" s="1250"/>
      <c r="F217" s="1411"/>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72"/>
      <c r="E218" s="1250"/>
      <c r="F218" s="141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47"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1148</v>
      </c>
      <c r="D219" s="1472"/>
      <c r="E219" s="1250"/>
      <c r="F219" s="1411"/>
      <c r="G219" s="1447"/>
      <c r="H219" s="823"/>
      <c r="I219" s="52" t="s">
        <v>1147</v>
      </c>
      <c r="J219" s="111"/>
      <c r="K219" s="823"/>
      <c r="L219" s="108"/>
      <c r="M219" s="201"/>
      <c r="N219" s="196"/>
      <c r="O219" s="69"/>
      <c r="P219" s="69"/>
      <c r="AH219" s="11">
        <v>0</v>
      </c>
    </row>
    <row r="220" spans="1:34" s="11" customFormat="1" ht="0.75" hidden="1" customHeight="1">
      <c r="A220" s="34"/>
      <c r="B220" s="34"/>
      <c r="C220" s="4" t="s">
        <v>1155</v>
      </c>
      <c r="D220" s="1472"/>
      <c r="E220" s="1250"/>
      <c r="F220" s="1411"/>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72"/>
      <c r="E221" s="1250"/>
      <c r="F221" s="1411" t="str">
        <f>INDEX(PT_DIFFERENTIATION_VTAR,MATCH(A221,PT_DIFFERENTIATION_VTAR_ID,0))</f>
        <v>Тарифы на услуги по передаче тепловой энергии</v>
      </c>
      <c r="G221" s="1447"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1148</v>
      </c>
      <c r="D222" s="1472"/>
      <c r="E222" s="1250"/>
      <c r="F222" s="1411"/>
      <c r="G222" s="1447"/>
      <c r="H222" s="823"/>
      <c r="I222" s="52" t="s">
        <v>1147</v>
      </c>
      <c r="J222" s="111"/>
      <c r="K222" s="823"/>
      <c r="L222" s="108"/>
      <c r="M222" s="201"/>
      <c r="N222" s="196"/>
      <c r="O222" s="69"/>
      <c r="P222" s="69"/>
      <c r="AH222" s="11">
        <v>0</v>
      </c>
    </row>
    <row r="223" spans="1:34" s="11" customFormat="1" ht="0.75" hidden="1" customHeight="1">
      <c r="A223" s="34"/>
      <c r="B223" s="34"/>
      <c r="C223" s="4" t="s">
        <v>1155</v>
      </c>
      <c r="D223" s="1472"/>
      <c r="E223" s="1250"/>
      <c r="F223" s="1411"/>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72"/>
      <c r="E224" s="1250"/>
      <c r="F224" s="1411" t="str">
        <f>INDEX(PT_DIFFERENTIATION_VTAR,MATCH(A224,PT_DIFFERENTIATION_VTAR_ID,0))</f>
        <v>Тарифы на услуги по передаче теплоносителя</v>
      </c>
      <c r="G224" s="1447"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1148</v>
      </c>
      <c r="D225" s="1472"/>
      <c r="E225" s="1250"/>
      <c r="F225" s="1411"/>
      <c r="G225" s="1447"/>
      <c r="H225" s="823"/>
      <c r="I225" s="52" t="s">
        <v>1147</v>
      </c>
      <c r="J225" s="111"/>
      <c r="K225" s="823"/>
      <c r="L225" s="108"/>
      <c r="M225" s="201"/>
      <c r="N225" s="196"/>
      <c r="O225" s="69"/>
      <c r="P225" s="69"/>
      <c r="AH225" s="11">
        <v>0</v>
      </c>
    </row>
    <row r="226" spans="1:34" s="11" customFormat="1" ht="0.75" hidden="1" customHeight="1">
      <c r="A226" s="34"/>
      <c r="B226" s="34"/>
      <c r="C226" s="4" t="s">
        <v>1155</v>
      </c>
      <c r="D226" s="1472"/>
      <c r="E226" s="1250"/>
      <c r="F226" s="1411"/>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72"/>
      <c r="E227" s="1250"/>
      <c r="F227" s="141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47"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1148</v>
      </c>
      <c r="D228" s="1472"/>
      <c r="E228" s="1250"/>
      <c r="F228" s="1411"/>
      <c r="G228" s="1447"/>
      <c r="H228" s="823"/>
      <c r="I228" s="52" t="s">
        <v>1147</v>
      </c>
      <c r="J228" s="111"/>
      <c r="K228" s="823"/>
      <c r="L228" s="108"/>
      <c r="M228" s="201"/>
      <c r="N228" s="196"/>
      <c r="O228" s="69"/>
      <c r="P228" s="69"/>
      <c r="AH228" s="11">
        <v>0</v>
      </c>
    </row>
    <row r="229" spans="1:34" s="11" customFormat="1" ht="0.75" hidden="1" customHeight="1">
      <c r="A229" s="34"/>
      <c r="B229" s="34"/>
      <c r="C229" s="4" t="s">
        <v>1155</v>
      </c>
      <c r="D229" s="1472"/>
      <c r="E229" s="1250"/>
      <c r="F229" s="1411"/>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72"/>
      <c r="E230" s="1250"/>
      <c r="F230" s="1411" t="str">
        <f>INDEX(PT_DIFFERENTIATION_VTAR,MATCH(A230,PT_DIFFERENTIATION_VTAR_ID,0))</f>
        <v>Плата за подключение (технологическое присоединение) к системе теплоснабжения</v>
      </c>
      <c r="G230" s="1447"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1148</v>
      </c>
      <c r="D231" s="1472"/>
      <c r="E231" s="1250"/>
      <c r="F231" s="1411"/>
      <c r="G231" s="1447"/>
      <c r="H231" s="823"/>
      <c r="I231" s="52" t="s">
        <v>1147</v>
      </c>
      <c r="J231" s="111"/>
      <c r="K231" s="823"/>
      <c r="L231" s="108"/>
      <c r="M231" s="201"/>
      <c r="N231" s="196"/>
      <c r="O231" s="69"/>
      <c r="P231" s="69"/>
      <c r="AH231" s="11">
        <v>0</v>
      </c>
    </row>
    <row r="232" spans="1:34" s="11" customFormat="1" ht="0.75" hidden="1" customHeight="1">
      <c r="A232" s="34"/>
      <c r="B232" s="34"/>
      <c r="C232" s="4" t="s">
        <v>1155</v>
      </c>
      <c r="D232" s="1472"/>
      <c r="E232" s="1250"/>
      <c r="F232" s="1411"/>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72"/>
      <c r="E233" s="1250"/>
      <c r="F233" s="1411" t="str">
        <f>INDEX(PT_DIFFERENTIATION_VTAR,MATCH(A233,PT_DIFFERENTIATION_VTAR_ID,0))</f>
        <v>Плата за подключение (технологическое присоединение) к системе теплоснабжения (индивидуальная)</v>
      </c>
      <c r="G233" s="1447"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1148</v>
      </c>
      <c r="D234" s="1472"/>
      <c r="E234" s="1250"/>
      <c r="F234" s="1411"/>
      <c r="G234" s="1447"/>
      <c r="H234" s="823"/>
      <c r="I234" s="52" t="s">
        <v>1147</v>
      </c>
      <c r="J234" s="111"/>
      <c r="K234" s="823"/>
      <c r="L234" s="108"/>
      <c r="M234" s="201"/>
      <c r="N234" s="196"/>
      <c r="O234" s="69"/>
      <c r="P234" s="69"/>
      <c r="AH234" s="11">
        <v>0</v>
      </c>
    </row>
    <row r="235" spans="1:34" s="11" customFormat="1" ht="0.75" hidden="1" customHeight="1">
      <c r="A235" s="34"/>
      <c r="B235" s="34"/>
      <c r="C235" s="4" t="s">
        <v>1155</v>
      </c>
      <c r="D235" s="1472"/>
      <c r="E235" s="1250"/>
      <c r="F235" s="1411"/>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72"/>
      <c r="E236" s="1250"/>
      <c r="F236" s="1411" t="str">
        <f>INDEX(PT_DIFFERENTIATION_VTAR,MATCH(A236,PT_DIFFERENTIATION_VTAR_ID,0))</f>
        <v>Тариф на питьевую воду (питьевое водоснабжение)</v>
      </c>
      <c r="G236" s="1447"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1148</v>
      </c>
      <c r="D237" s="1472"/>
      <c r="E237" s="1250"/>
      <c r="F237" s="1411"/>
      <c r="G237" s="1447"/>
      <c r="H237" s="823"/>
      <c r="I237" s="52" t="s">
        <v>1147</v>
      </c>
      <c r="J237" s="111"/>
      <c r="K237" s="823"/>
      <c r="L237" s="108"/>
      <c r="M237" s="201"/>
      <c r="N237" s="196"/>
      <c r="O237" s="69"/>
      <c r="P237" s="69"/>
      <c r="AH237" s="11">
        <v>0</v>
      </c>
    </row>
    <row r="238" spans="1:34" s="11" customFormat="1" ht="0.75" hidden="1" customHeight="1">
      <c r="A238" s="34"/>
      <c r="B238" s="34"/>
      <c r="C238" s="4" t="s">
        <v>1155</v>
      </c>
      <c r="D238" s="1472"/>
      <c r="E238" s="1250"/>
      <c r="F238" s="1411"/>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72"/>
      <c r="E239" s="1250"/>
      <c r="F239" s="1411" t="str">
        <f>INDEX(PT_DIFFERENTIATION_VTAR,MATCH(A239,PT_DIFFERENTIATION_VTAR_ID,0))</f>
        <v>Тариф на техническую воду</v>
      </c>
      <c r="G239" s="1447"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1148</v>
      </c>
      <c r="D240" s="1472"/>
      <c r="E240" s="1250"/>
      <c r="F240" s="1411"/>
      <c r="G240" s="1447"/>
      <c r="H240" s="823"/>
      <c r="I240" s="52" t="s">
        <v>1147</v>
      </c>
      <c r="J240" s="111"/>
      <c r="K240" s="823"/>
      <c r="L240" s="108"/>
      <c r="M240" s="201"/>
      <c r="N240" s="196"/>
      <c r="O240" s="69"/>
      <c r="P240" s="69"/>
      <c r="AH240" s="11">
        <v>0</v>
      </c>
    </row>
    <row r="241" spans="1:34" s="11" customFormat="1" ht="0.75" hidden="1" customHeight="1">
      <c r="A241" s="34"/>
      <c r="B241" s="34"/>
      <c r="C241" s="4" t="s">
        <v>1155</v>
      </c>
      <c r="D241" s="1472"/>
      <c r="E241" s="1250"/>
      <c r="F241" s="1411"/>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72"/>
      <c r="E242" s="1250"/>
      <c r="F242" s="1411" t="str">
        <f>INDEX(PT_DIFFERENTIATION_VTAR,MATCH(A242,PT_DIFFERENTIATION_VTAR_ID,0))</f>
        <v>Тариф на транспортировку воды</v>
      </c>
      <c r="G242" s="1447"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1148</v>
      </c>
      <c r="D243" s="1472"/>
      <c r="E243" s="1250"/>
      <c r="F243" s="1411"/>
      <c r="G243" s="1447"/>
      <c r="H243" s="823"/>
      <c r="I243" s="52" t="s">
        <v>1147</v>
      </c>
      <c r="J243" s="111"/>
      <c r="K243" s="823"/>
      <c r="L243" s="108"/>
      <c r="M243" s="201"/>
      <c r="N243" s="196"/>
      <c r="O243" s="69"/>
      <c r="P243" s="69"/>
      <c r="AH243" s="11">
        <v>0</v>
      </c>
    </row>
    <row r="244" spans="1:34" s="11" customFormat="1" ht="0.75" hidden="1" customHeight="1">
      <c r="A244" s="34"/>
      <c r="B244" s="34"/>
      <c r="C244" s="4" t="s">
        <v>1155</v>
      </c>
      <c r="D244" s="1472"/>
      <c r="E244" s="1250"/>
      <c r="F244" s="1411"/>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72"/>
      <c r="E245" s="1250"/>
      <c r="F245" s="1411" t="str">
        <f>INDEX(PT_DIFFERENTIATION_VTAR,MATCH(A245,PT_DIFFERENTIATION_VTAR_ID,0))</f>
        <v>Тариф на подвоз воды</v>
      </c>
      <c r="G245" s="1447" t="str">
        <f>INDEX(PT_DIFFERENTIATION_NTAR,MATCH(B245,PT_DIFFERENTIATION_NTAR_ID,0))</f>
        <v/>
      </c>
      <c r="H245" s="763"/>
      <c r="I245" s="948"/>
      <c r="J245" s="974"/>
      <c r="K245" s="366"/>
      <c r="L245" s="763" t="s">
        <v>310</v>
      </c>
      <c r="M245" s="201"/>
      <c r="N245" s="196"/>
      <c r="O245" s="69"/>
      <c r="P245" s="69"/>
      <c r="AH245" s="11">
        <v>0</v>
      </c>
    </row>
    <row r="246" spans="1:34" s="11" customFormat="1" ht="18.75" hidden="1" customHeight="1">
      <c r="A246" s="34"/>
      <c r="B246" s="34"/>
      <c r="C246" s="4" t="s">
        <v>1148</v>
      </c>
      <c r="D246" s="1472"/>
      <c r="E246" s="1250"/>
      <c r="F246" s="1411"/>
      <c r="G246" s="1447"/>
      <c r="H246" s="823"/>
      <c r="I246" s="52" t="s">
        <v>1147</v>
      </c>
      <c r="J246" s="111"/>
      <c r="K246" s="823"/>
      <c r="L246" s="108"/>
      <c r="M246" s="201"/>
      <c r="N246" s="196"/>
      <c r="O246" s="69"/>
      <c r="P246" s="69"/>
      <c r="AH246" s="11">
        <v>0</v>
      </c>
    </row>
    <row r="247" spans="1:34" s="11" customFormat="1" ht="0.75" hidden="1" customHeight="1">
      <c r="A247" s="34"/>
      <c r="B247" s="34"/>
      <c r="C247" s="4" t="s">
        <v>1155</v>
      </c>
      <c r="D247" s="1472"/>
      <c r="E247" s="1250"/>
      <c r="F247" s="1411"/>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72"/>
      <c r="E248" s="1250"/>
      <c r="F248" s="141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47"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1148</v>
      </c>
      <c r="D249" s="1472"/>
      <c r="E249" s="1250"/>
      <c r="F249" s="1411"/>
      <c r="G249" s="1447"/>
      <c r="H249" s="823"/>
      <c r="I249" s="52" t="s">
        <v>1147</v>
      </c>
      <c r="J249" s="111"/>
      <c r="K249" s="823"/>
      <c r="L249" s="108"/>
      <c r="M249" s="201"/>
      <c r="N249" s="196"/>
      <c r="O249" s="69"/>
      <c r="P249" s="69"/>
      <c r="AH249" s="11">
        <v>0</v>
      </c>
    </row>
    <row r="250" spans="1:34" s="11" customFormat="1" ht="0.75" hidden="1" customHeight="1">
      <c r="A250" s="34"/>
      <c r="B250" s="34"/>
      <c r="C250" s="4" t="s">
        <v>1155</v>
      </c>
      <c r="D250" s="1472"/>
      <c r="E250" s="1250"/>
      <c r="F250" s="1411"/>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72"/>
      <c r="E251" s="1250"/>
      <c r="F251" s="1411" t="str">
        <f>INDEX(PT_DIFFERENTIATION_VTAR,MATCH(A251,PT_DIFFERENTIATION_VTAR_ID,0))</f>
        <v>Тариф на горячую воду (горячее водоснабжение)</v>
      </c>
      <c r="G251" s="1447"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1148</v>
      </c>
      <c r="D252" s="1472"/>
      <c r="E252" s="1250"/>
      <c r="F252" s="1411"/>
      <c r="G252" s="1447"/>
      <c r="H252" s="823"/>
      <c r="I252" s="52" t="s">
        <v>1147</v>
      </c>
      <c r="J252" s="111"/>
      <c r="K252" s="823"/>
      <c r="L252" s="108"/>
      <c r="M252" s="201"/>
      <c r="N252" s="196"/>
      <c r="O252" s="69"/>
      <c r="P252" s="69"/>
      <c r="AH252" s="11">
        <v>0</v>
      </c>
    </row>
    <row r="253" spans="1:34" s="11" customFormat="1" ht="0.75" hidden="1" customHeight="1">
      <c r="A253" s="34"/>
      <c r="B253" s="34"/>
      <c r="C253" s="4" t="s">
        <v>1155</v>
      </c>
      <c r="D253" s="1472"/>
      <c r="E253" s="1250"/>
      <c r="F253" s="1411"/>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72"/>
      <c r="E254" s="1250"/>
      <c r="F254" s="1411" t="str">
        <f>INDEX(PT_DIFFERENTIATION_VTAR,MATCH(A254,PT_DIFFERENTIATION_VTAR_ID,0))</f>
        <v>Тариф на транспортировку горячей воды</v>
      </c>
      <c r="G254" s="1447"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1148</v>
      </c>
      <c r="D255" s="1472"/>
      <c r="E255" s="1250"/>
      <c r="F255" s="1411"/>
      <c r="G255" s="1447"/>
      <c r="H255" s="823"/>
      <c r="I255" s="52" t="s">
        <v>1147</v>
      </c>
      <c r="J255" s="111"/>
      <c r="K255" s="823"/>
      <c r="L255" s="108"/>
      <c r="M255" s="201"/>
      <c r="N255" s="196"/>
      <c r="O255" s="69"/>
      <c r="P255" s="69"/>
      <c r="AH255" s="11">
        <v>0</v>
      </c>
    </row>
    <row r="256" spans="1:34" s="11" customFormat="1" ht="0.75" hidden="1" customHeight="1">
      <c r="A256" s="34"/>
      <c r="B256" s="34"/>
      <c r="C256" s="4" t="s">
        <v>1155</v>
      </c>
      <c r="D256" s="1472"/>
      <c r="E256" s="1250"/>
      <c r="F256" s="1411"/>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72"/>
      <c r="E257" s="1250"/>
      <c r="F257" s="1411"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47"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1148</v>
      </c>
      <c r="D258" s="1472"/>
      <c r="E258" s="1250"/>
      <c r="F258" s="1411"/>
      <c r="G258" s="1447"/>
      <c r="H258" s="823"/>
      <c r="I258" s="52" t="s">
        <v>1147</v>
      </c>
      <c r="J258" s="111"/>
      <c r="K258" s="823"/>
      <c r="L258" s="108"/>
      <c r="M258" s="201"/>
      <c r="N258" s="196"/>
      <c r="O258" s="69"/>
      <c r="P258" s="69"/>
      <c r="AH258" s="11">
        <v>0</v>
      </c>
    </row>
    <row r="259" spans="1:34" s="11" customFormat="1" ht="0.75" hidden="1" customHeight="1">
      <c r="A259" s="34"/>
      <c r="B259" s="34"/>
      <c r="C259" s="4" t="s">
        <v>1155</v>
      </c>
      <c r="D259" s="1472"/>
      <c r="E259" s="1250"/>
      <c r="F259" s="1411"/>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72"/>
      <c r="E260" s="1250"/>
      <c r="F260" s="1411" t="str">
        <f>INDEX(PT_DIFFERENTIATION_VTAR,MATCH(A260,PT_DIFFERENTIATION_VTAR_ID,0))</f>
        <v>Тариф на водоотведение</v>
      </c>
      <c r="G260" s="1447"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1148</v>
      </c>
      <c r="D261" s="1472"/>
      <c r="E261" s="1250"/>
      <c r="F261" s="1411"/>
      <c r="G261" s="1447"/>
      <c r="H261" s="823"/>
      <c r="I261" s="52" t="s">
        <v>1147</v>
      </c>
      <c r="J261" s="111"/>
      <c r="K261" s="823"/>
      <c r="L261" s="108"/>
      <c r="M261" s="201"/>
      <c r="N261" s="196"/>
      <c r="O261" s="69"/>
      <c r="P261" s="69"/>
      <c r="AH261" s="11">
        <v>0</v>
      </c>
    </row>
    <row r="262" spans="1:34" s="11" customFormat="1" ht="0.75" hidden="1" customHeight="1">
      <c r="A262" s="34"/>
      <c r="B262" s="34"/>
      <c r="C262" s="4" t="s">
        <v>1155</v>
      </c>
      <c r="D262" s="1472"/>
      <c r="E262" s="1250"/>
      <c r="F262" s="1411"/>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72"/>
      <c r="E263" s="1250"/>
      <c r="F263" s="1411" t="str">
        <f>INDEX(PT_DIFFERENTIATION_VTAR,MATCH(A263,PT_DIFFERENTIATION_VTAR_ID,0))</f>
        <v>Тариф на транспортировку сточных вод</v>
      </c>
      <c r="G263" s="1447" t="str">
        <f>INDEX(PT_DIFFERENTIATION_NTAR,MATCH(B263,PT_DIFFERENTIATION_NTAR_ID,0))</f>
        <v>Транспортировка сточных вод</v>
      </c>
      <c r="H263" s="763"/>
      <c r="I263" s="948"/>
      <c r="J263" s="974"/>
      <c r="K263" s="366"/>
      <c r="L263" s="763" t="s">
        <v>310</v>
      </c>
      <c r="M263" s="201"/>
      <c r="N263" s="196"/>
      <c r="O263" s="69"/>
      <c r="P263" s="69"/>
      <c r="AH263" s="11">
        <v>0</v>
      </c>
    </row>
    <row r="264" spans="1:34" s="11" customFormat="1" ht="18.75" hidden="1" customHeight="1">
      <c r="A264" s="34"/>
      <c r="B264" s="34"/>
      <c r="C264" s="4" t="s">
        <v>1148</v>
      </c>
      <c r="D264" s="1472"/>
      <c r="E264" s="1250"/>
      <c r="F264" s="1411"/>
      <c r="G264" s="1447"/>
      <c r="H264" s="823"/>
      <c r="I264" s="52" t="s">
        <v>1147</v>
      </c>
      <c r="J264" s="111"/>
      <c r="K264" s="823"/>
      <c r="L264" s="108"/>
      <c r="M264" s="201"/>
      <c r="N264" s="196"/>
      <c r="O264" s="69"/>
      <c r="P264" s="69"/>
      <c r="AH264" s="11">
        <v>0</v>
      </c>
    </row>
    <row r="265" spans="1:34" s="11" customFormat="1" ht="0.75" hidden="1" customHeight="1">
      <c r="A265" s="34"/>
      <c r="B265" s="34"/>
      <c r="C265" s="4" t="s">
        <v>1155</v>
      </c>
      <c r="D265" s="1472"/>
      <c r="E265" s="1250"/>
      <c r="F265" s="1411"/>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72"/>
      <c r="E266" s="1250"/>
      <c r="F266" s="1411" t="str">
        <f>INDEX(PT_DIFFERENTIATION_VTAR,MATCH(A266,PT_DIFFERENTIATION_VTAR_ID,0))</f>
        <v>Тариф на подключение (технологическое присоединение) к централизованной системе водоотведения</v>
      </c>
      <c r="G266" s="1447"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1148</v>
      </c>
      <c r="D267" s="1472"/>
      <c r="E267" s="1250"/>
      <c r="F267" s="1411"/>
      <c r="G267" s="1447"/>
      <c r="H267" s="823"/>
      <c r="I267" s="52" t="s">
        <v>1147</v>
      </c>
      <c r="J267" s="111"/>
      <c r="K267" s="823"/>
      <c r="L267" s="108"/>
      <c r="M267" s="201"/>
      <c r="N267" s="196"/>
      <c r="O267" s="69"/>
      <c r="P267" s="69"/>
      <c r="AH267" s="11">
        <v>0</v>
      </c>
    </row>
    <row r="268" spans="1:34" s="11" customFormat="1" ht="1.05" customHeight="1">
      <c r="A268" s="34"/>
      <c r="B268" s="34"/>
      <c r="C268" s="4" t="s">
        <v>1155</v>
      </c>
      <c r="D268" s="1472"/>
      <c r="E268" s="1250"/>
      <c r="F268" s="1411"/>
      <c r="G268" s="227"/>
      <c r="H268" s="823"/>
      <c r="I268" s="52"/>
      <c r="J268" s="111"/>
      <c r="K268" s="823"/>
      <c r="L268" s="108"/>
      <c r="M268" s="201"/>
      <c r="N268" s="196"/>
      <c r="O268" s="69"/>
      <c r="P268" s="69"/>
      <c r="AH268" s="11">
        <v>1</v>
      </c>
    </row>
    <row r="269" spans="1:34" ht="27.3" customHeight="1">
      <c r="A269" s="34"/>
      <c r="B269" s="34"/>
      <c r="D269" s="28"/>
      <c r="E269" s="64" t="s">
        <v>93</v>
      </c>
      <c r="F269" s="1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71"/>
      <c r="H269" s="1471"/>
      <c r="I269" s="1471"/>
      <c r="J269" s="1471"/>
      <c r="K269" s="1471"/>
      <c r="L269" s="1471"/>
      <c r="M269" s="114"/>
      <c r="N269" s="196"/>
      <c r="AH269" s="11">
        <v>26</v>
      </c>
    </row>
    <row r="270" spans="1:34" s="11" customFormat="1" ht="60.75" hidden="1" customHeight="1">
      <c r="A270" s="34" t="s">
        <v>156</v>
      </c>
      <c r="B270" s="34" t="s">
        <v>157</v>
      </c>
      <c r="C270" s="4"/>
      <c r="D270" s="1472"/>
      <c r="E270" s="1250"/>
      <c r="F270" s="141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47" t="str">
        <f>INDEX(PT_DIFFERENTIATION_NTAR,MATCH(B270,PT_DIFFERENTIATION_NTAR_ID,0))</f>
        <v/>
      </c>
      <c r="H270" s="763"/>
      <c r="I270" s="948"/>
      <c r="J270" s="974"/>
      <c r="K270" s="366"/>
      <c r="L270" s="763" t="s">
        <v>310</v>
      </c>
      <c r="M270"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72"/>
      <c r="E271" s="1250"/>
      <c r="F271" s="1411"/>
      <c r="G271" s="1447"/>
      <c r="H271" s="823"/>
      <c r="I271" s="52" t="s">
        <v>1147</v>
      </c>
      <c r="J271" s="111"/>
      <c r="K271" s="823"/>
      <c r="L271" s="108"/>
      <c r="M271" s="1205"/>
      <c r="N271" s="196"/>
      <c r="O271" s="69"/>
      <c r="P271" s="69"/>
      <c r="AH271" s="11">
        <v>0</v>
      </c>
    </row>
    <row r="272" spans="1:34" s="11" customFormat="1" ht="0.75" hidden="1" customHeight="1">
      <c r="A272" s="34"/>
      <c r="B272" s="34"/>
      <c r="C272" s="4" t="s">
        <v>1155</v>
      </c>
      <c r="D272" s="1472"/>
      <c r="E272" s="1250"/>
      <c r="F272" s="1411"/>
      <c r="G272" s="227"/>
      <c r="H272" s="823"/>
      <c r="I272" s="52"/>
      <c r="J272" s="111"/>
      <c r="K272" s="823"/>
      <c r="L272" s="108"/>
      <c r="M272" s="1205"/>
      <c r="N272" s="196"/>
      <c r="O272" s="69"/>
      <c r="P272" s="69"/>
      <c r="AH272" s="11">
        <v>0</v>
      </c>
    </row>
    <row r="273" spans="1:34" s="11" customFormat="1" ht="45" hidden="1" customHeight="1">
      <c r="A273" s="34" t="s">
        <v>161</v>
      </c>
      <c r="B273" s="34" t="s">
        <v>162</v>
      </c>
      <c r="C273" s="4"/>
      <c r="D273" s="1472"/>
      <c r="E273" s="1250"/>
      <c r="F273" s="1411" t="str">
        <f>INDEX(PT_DIFFERENTIATION_VTAR,MATCH(A273,PT_DIFFERENTIATION_VTAR_ID,0))</f>
        <v/>
      </c>
      <c r="G273" s="1447" t="str">
        <f>INDEX(PT_DIFFERENTIATION_NTAR,MATCH(B273,PT_DIFFERENTIATION_NTAR_ID,0))</f>
        <v/>
      </c>
      <c r="H273" s="763"/>
      <c r="I273" s="948"/>
      <c r="J273" s="974"/>
      <c r="K273" s="366"/>
      <c r="L273" s="763" t="s">
        <v>310</v>
      </c>
      <c r="M273" s="1206"/>
      <c r="N273" s="196"/>
      <c r="O273" s="69"/>
      <c r="P273" s="69"/>
      <c r="AH273" s="11">
        <v>0</v>
      </c>
    </row>
    <row r="274" spans="1:34" s="11" customFormat="1" ht="18.75" hidden="1" customHeight="1">
      <c r="A274" s="34"/>
      <c r="B274" s="34"/>
      <c r="C274" s="4" t="s">
        <v>1148</v>
      </c>
      <c r="D274" s="1472"/>
      <c r="E274" s="1250"/>
      <c r="F274" s="1411"/>
      <c r="G274" s="1447"/>
      <c r="H274" s="823"/>
      <c r="I274" s="52" t="s">
        <v>1147</v>
      </c>
      <c r="J274" s="111"/>
      <c r="K274" s="823"/>
      <c r="L274" s="108"/>
      <c r="M274" s="1006"/>
      <c r="N274" s="196"/>
      <c r="O274" s="69"/>
      <c r="P274" s="69"/>
      <c r="AH274" s="11">
        <v>0</v>
      </c>
    </row>
    <row r="275" spans="1:34" s="11" customFormat="1" ht="0.75" hidden="1" customHeight="1">
      <c r="A275" s="34"/>
      <c r="B275" s="34"/>
      <c r="C275" s="4" t="s">
        <v>1155</v>
      </c>
      <c r="D275" s="1472"/>
      <c r="E275" s="1250"/>
      <c r="F275" s="1411"/>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72"/>
      <c r="E276" s="1250"/>
      <c r="F276" s="141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47"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1148</v>
      </c>
      <c r="D277" s="1472"/>
      <c r="E277" s="1250"/>
      <c r="F277" s="1411"/>
      <c r="G277" s="1447"/>
      <c r="H277" s="823"/>
      <c r="I277" s="52" t="s">
        <v>1147</v>
      </c>
      <c r="J277" s="111"/>
      <c r="K277" s="823"/>
      <c r="L277" s="108"/>
      <c r="M277" s="201"/>
      <c r="N277" s="196"/>
      <c r="O277" s="69"/>
      <c r="P277" s="69"/>
      <c r="AH277" s="11">
        <v>0</v>
      </c>
    </row>
    <row r="278" spans="1:34" s="11" customFormat="1" ht="0.75" hidden="1" customHeight="1">
      <c r="A278" s="34"/>
      <c r="B278" s="34"/>
      <c r="C278" s="4" t="s">
        <v>1155</v>
      </c>
      <c r="D278" s="1472"/>
      <c r="E278" s="1250"/>
      <c r="F278" s="1411"/>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72"/>
      <c r="E279" s="1250"/>
      <c r="F279" s="141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47"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1148</v>
      </c>
      <c r="D280" s="1472"/>
      <c r="E280" s="1250"/>
      <c r="F280" s="1411"/>
      <c r="G280" s="1447"/>
      <c r="H280" s="823"/>
      <c r="I280" s="52" t="s">
        <v>1147</v>
      </c>
      <c r="J280" s="111"/>
      <c r="K280" s="823"/>
      <c r="L280" s="108"/>
      <c r="M280" s="201"/>
      <c r="N280" s="196"/>
      <c r="O280" s="69"/>
      <c r="P280" s="69"/>
      <c r="AH280" s="11">
        <v>0</v>
      </c>
    </row>
    <row r="281" spans="1:34" s="11" customFormat="1" ht="0.75" hidden="1" customHeight="1">
      <c r="A281" s="34"/>
      <c r="B281" s="34"/>
      <c r="C281" s="4" t="s">
        <v>1155</v>
      </c>
      <c r="D281" s="1472"/>
      <c r="E281" s="1250"/>
      <c r="F281" s="1411"/>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72"/>
      <c r="E282" s="1250"/>
      <c r="F282" s="1411" t="str">
        <f>INDEX(PT_DIFFERENTIATION_VTAR,MATCH(A282,PT_DIFFERENTIATION_VTAR_ID,0))</f>
        <v>Тарифы на услуги по передаче тепловой энергии</v>
      </c>
      <c r="G282" s="1447"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1148</v>
      </c>
      <c r="D283" s="1472"/>
      <c r="E283" s="1250"/>
      <c r="F283" s="1411"/>
      <c r="G283" s="1447"/>
      <c r="H283" s="823"/>
      <c r="I283" s="52" t="s">
        <v>1147</v>
      </c>
      <c r="J283" s="111"/>
      <c r="K283" s="823"/>
      <c r="L283" s="108"/>
      <c r="M283" s="201"/>
      <c r="N283" s="196"/>
      <c r="O283" s="69"/>
      <c r="P283" s="69"/>
      <c r="AH283" s="11">
        <v>0</v>
      </c>
    </row>
    <row r="284" spans="1:34" s="11" customFormat="1" ht="0.75" hidden="1" customHeight="1">
      <c r="A284" s="34"/>
      <c r="B284" s="34"/>
      <c r="C284" s="4" t="s">
        <v>1155</v>
      </c>
      <c r="D284" s="1472"/>
      <c r="E284" s="1250"/>
      <c r="F284" s="1411"/>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72"/>
      <c r="E285" s="1250"/>
      <c r="F285" s="1411" t="str">
        <f>INDEX(PT_DIFFERENTIATION_VTAR,MATCH(A285,PT_DIFFERENTIATION_VTAR_ID,0))</f>
        <v>Тарифы на услуги по передаче теплоносителя</v>
      </c>
      <c r="G285" s="1447"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1148</v>
      </c>
      <c r="D286" s="1472"/>
      <c r="E286" s="1250"/>
      <c r="F286" s="1411"/>
      <c r="G286" s="1447"/>
      <c r="H286" s="823"/>
      <c r="I286" s="52" t="s">
        <v>1147</v>
      </c>
      <c r="J286" s="111"/>
      <c r="K286" s="823"/>
      <c r="L286" s="108"/>
      <c r="M286" s="201"/>
      <c r="N286" s="196"/>
      <c r="O286" s="69"/>
      <c r="P286" s="69"/>
      <c r="AH286" s="11">
        <v>0</v>
      </c>
    </row>
    <row r="287" spans="1:34" s="11" customFormat="1" ht="0.75" hidden="1" customHeight="1">
      <c r="A287" s="34"/>
      <c r="B287" s="34"/>
      <c r="C287" s="4" t="s">
        <v>1155</v>
      </c>
      <c r="D287" s="1472"/>
      <c r="E287" s="1250"/>
      <c r="F287" s="1411"/>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72"/>
      <c r="E288" s="1250"/>
      <c r="F288" s="141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47"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1148</v>
      </c>
      <c r="D289" s="1472"/>
      <c r="E289" s="1250"/>
      <c r="F289" s="1411"/>
      <c r="G289" s="1447"/>
      <c r="H289" s="823"/>
      <c r="I289" s="52" t="s">
        <v>1147</v>
      </c>
      <c r="J289" s="111"/>
      <c r="K289" s="823"/>
      <c r="L289" s="108"/>
      <c r="M289" s="201"/>
      <c r="N289" s="196"/>
      <c r="O289" s="69"/>
      <c r="P289" s="69"/>
      <c r="AH289" s="11">
        <v>0</v>
      </c>
    </row>
    <row r="290" spans="1:34" s="11" customFormat="1" ht="0.75" hidden="1" customHeight="1">
      <c r="A290" s="34"/>
      <c r="B290" s="34"/>
      <c r="C290" s="4" t="s">
        <v>1155</v>
      </c>
      <c r="D290" s="1472"/>
      <c r="E290" s="1250"/>
      <c r="F290" s="1411"/>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72"/>
      <c r="E291" s="1250"/>
      <c r="F291" s="1411" t="str">
        <f>INDEX(PT_DIFFERENTIATION_VTAR,MATCH(A291,PT_DIFFERENTIATION_VTAR_ID,0))</f>
        <v>Плата за подключение (технологическое присоединение) к системе теплоснабжения</v>
      </c>
      <c r="G291" s="1447"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1148</v>
      </c>
      <c r="D292" s="1472"/>
      <c r="E292" s="1250"/>
      <c r="F292" s="1411"/>
      <c r="G292" s="1447"/>
      <c r="H292" s="823"/>
      <c r="I292" s="52" t="s">
        <v>1147</v>
      </c>
      <c r="J292" s="111"/>
      <c r="K292" s="823"/>
      <c r="L292" s="108"/>
      <c r="M292" s="201"/>
      <c r="N292" s="196"/>
      <c r="O292" s="69"/>
      <c r="P292" s="69"/>
      <c r="AH292" s="11">
        <v>0</v>
      </c>
    </row>
    <row r="293" spans="1:34" s="11" customFormat="1" ht="0.75" hidden="1" customHeight="1">
      <c r="A293" s="34"/>
      <c r="B293" s="34"/>
      <c r="C293" s="4" t="s">
        <v>1155</v>
      </c>
      <c r="D293" s="1472"/>
      <c r="E293" s="1250"/>
      <c r="F293" s="1411"/>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72"/>
      <c r="E294" s="1250"/>
      <c r="F294" s="1411" t="str">
        <f>INDEX(PT_DIFFERENTIATION_VTAR,MATCH(A294,PT_DIFFERENTIATION_VTAR_ID,0))</f>
        <v>Плата за подключение (технологическое присоединение) к системе теплоснабжения (индивидуальная)</v>
      </c>
      <c r="G294" s="1447"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1148</v>
      </c>
      <c r="D295" s="1472"/>
      <c r="E295" s="1250"/>
      <c r="F295" s="1411"/>
      <c r="G295" s="1447"/>
      <c r="H295" s="823"/>
      <c r="I295" s="52" t="s">
        <v>1147</v>
      </c>
      <c r="J295" s="111"/>
      <c r="K295" s="823"/>
      <c r="L295" s="108"/>
      <c r="M295" s="201"/>
      <c r="N295" s="196"/>
      <c r="O295" s="69"/>
      <c r="P295" s="69"/>
      <c r="AH295" s="11">
        <v>0</v>
      </c>
    </row>
    <row r="296" spans="1:34" s="11" customFormat="1" ht="0.75" hidden="1" customHeight="1">
      <c r="A296" s="34"/>
      <c r="B296" s="34"/>
      <c r="C296" s="4" t="s">
        <v>1155</v>
      </c>
      <c r="D296" s="1472"/>
      <c r="E296" s="1250"/>
      <c r="F296" s="1411"/>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72"/>
      <c r="E297" s="1250"/>
      <c r="F297" s="1411" t="str">
        <f>INDEX(PT_DIFFERENTIATION_VTAR,MATCH(A297,PT_DIFFERENTIATION_VTAR_ID,0))</f>
        <v>Тариф на питьевую воду (питьевое водоснабжение)</v>
      </c>
      <c r="G297" s="1447"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1148</v>
      </c>
      <c r="D298" s="1472"/>
      <c r="E298" s="1250"/>
      <c r="F298" s="1411"/>
      <c r="G298" s="1447"/>
      <c r="H298" s="823"/>
      <c r="I298" s="52" t="s">
        <v>1147</v>
      </c>
      <c r="J298" s="111"/>
      <c r="K298" s="823"/>
      <c r="L298" s="108"/>
      <c r="M298" s="201"/>
      <c r="N298" s="196"/>
      <c r="O298" s="69"/>
      <c r="P298" s="69"/>
      <c r="AH298" s="11">
        <v>0</v>
      </c>
    </row>
    <row r="299" spans="1:34" s="11" customFormat="1" ht="0.75" hidden="1" customHeight="1">
      <c r="A299" s="34"/>
      <c r="B299" s="34"/>
      <c r="C299" s="4" t="s">
        <v>1155</v>
      </c>
      <c r="D299" s="1472"/>
      <c r="E299" s="1250"/>
      <c r="F299" s="1411"/>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72"/>
      <c r="E300" s="1250"/>
      <c r="F300" s="1411" t="str">
        <f>INDEX(PT_DIFFERENTIATION_VTAR,MATCH(A300,PT_DIFFERENTIATION_VTAR_ID,0))</f>
        <v>Тариф на техническую воду</v>
      </c>
      <c r="G300" s="1447"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1148</v>
      </c>
      <c r="D301" s="1472"/>
      <c r="E301" s="1250"/>
      <c r="F301" s="1411"/>
      <c r="G301" s="1447"/>
      <c r="H301" s="823"/>
      <c r="I301" s="52" t="s">
        <v>1147</v>
      </c>
      <c r="J301" s="111"/>
      <c r="K301" s="823"/>
      <c r="L301" s="108"/>
      <c r="M301" s="201"/>
      <c r="N301" s="196"/>
      <c r="O301" s="69"/>
      <c r="P301" s="69"/>
      <c r="AH301" s="11">
        <v>0</v>
      </c>
    </row>
    <row r="302" spans="1:34" s="11" customFormat="1" ht="0.75" hidden="1" customHeight="1">
      <c r="A302" s="34"/>
      <c r="B302" s="34"/>
      <c r="C302" s="4" t="s">
        <v>1155</v>
      </c>
      <c r="D302" s="1472"/>
      <c r="E302" s="1250"/>
      <c r="F302" s="1411"/>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72"/>
      <c r="E303" s="1250"/>
      <c r="F303" s="1411" t="str">
        <f>INDEX(PT_DIFFERENTIATION_VTAR,MATCH(A303,PT_DIFFERENTIATION_VTAR_ID,0))</f>
        <v>Тариф на транспортировку воды</v>
      </c>
      <c r="G303" s="1447"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1148</v>
      </c>
      <c r="D304" s="1472"/>
      <c r="E304" s="1250"/>
      <c r="F304" s="1411"/>
      <c r="G304" s="1447"/>
      <c r="H304" s="823"/>
      <c r="I304" s="52" t="s">
        <v>1147</v>
      </c>
      <c r="J304" s="111"/>
      <c r="K304" s="823"/>
      <c r="L304" s="108"/>
      <c r="M304" s="201"/>
      <c r="N304" s="196"/>
      <c r="O304" s="69"/>
      <c r="P304" s="69"/>
      <c r="AH304" s="11">
        <v>0</v>
      </c>
    </row>
    <row r="305" spans="1:34" s="11" customFormat="1" ht="0.75" hidden="1" customHeight="1">
      <c r="A305" s="34"/>
      <c r="B305" s="34"/>
      <c r="C305" s="4" t="s">
        <v>1155</v>
      </c>
      <c r="D305" s="1472"/>
      <c r="E305" s="1250"/>
      <c r="F305" s="1411"/>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72"/>
      <c r="E306" s="1250"/>
      <c r="F306" s="1411" t="str">
        <f>INDEX(PT_DIFFERENTIATION_VTAR,MATCH(A306,PT_DIFFERENTIATION_VTAR_ID,0))</f>
        <v>Тариф на подвоз воды</v>
      </c>
      <c r="G306" s="1447" t="str">
        <f>INDEX(PT_DIFFERENTIATION_NTAR,MATCH(B306,PT_DIFFERENTIATION_NTAR_ID,0))</f>
        <v/>
      </c>
      <c r="H306" s="763"/>
      <c r="I306" s="948"/>
      <c r="J306" s="974"/>
      <c r="K306" s="366"/>
      <c r="L306" s="763" t="s">
        <v>310</v>
      </c>
      <c r="M306" s="201"/>
      <c r="N306" s="196"/>
      <c r="O306" s="69"/>
      <c r="P306" s="69"/>
      <c r="AH306" s="11">
        <v>0</v>
      </c>
    </row>
    <row r="307" spans="1:34" s="11" customFormat="1" ht="18.75" hidden="1" customHeight="1">
      <c r="A307" s="34"/>
      <c r="B307" s="34"/>
      <c r="C307" s="4" t="s">
        <v>1148</v>
      </c>
      <c r="D307" s="1472"/>
      <c r="E307" s="1250"/>
      <c r="F307" s="1411"/>
      <c r="G307" s="1447"/>
      <c r="H307" s="823"/>
      <c r="I307" s="52" t="s">
        <v>1147</v>
      </c>
      <c r="J307" s="111"/>
      <c r="K307" s="823"/>
      <c r="L307" s="108"/>
      <c r="M307" s="201"/>
      <c r="N307" s="196"/>
      <c r="O307" s="69"/>
      <c r="P307" s="69"/>
      <c r="AH307" s="11">
        <v>0</v>
      </c>
    </row>
    <row r="308" spans="1:34" s="11" customFormat="1" ht="0.75" hidden="1" customHeight="1">
      <c r="A308" s="34"/>
      <c r="B308" s="34"/>
      <c r="C308" s="4" t="s">
        <v>1155</v>
      </c>
      <c r="D308" s="1472"/>
      <c r="E308" s="1250"/>
      <c r="F308" s="1411"/>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72"/>
      <c r="E309" s="1250"/>
      <c r="F309" s="141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47"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1148</v>
      </c>
      <c r="D310" s="1472"/>
      <c r="E310" s="1250"/>
      <c r="F310" s="1411"/>
      <c r="G310" s="1447"/>
      <c r="H310" s="823"/>
      <c r="I310" s="52" t="s">
        <v>1147</v>
      </c>
      <c r="J310" s="111"/>
      <c r="K310" s="823"/>
      <c r="L310" s="108"/>
      <c r="M310" s="201"/>
      <c r="N310" s="196"/>
      <c r="O310" s="69"/>
      <c r="P310" s="69"/>
      <c r="AH310" s="11">
        <v>0</v>
      </c>
    </row>
    <row r="311" spans="1:34" s="11" customFormat="1" ht="0.75" hidden="1" customHeight="1">
      <c r="A311" s="34"/>
      <c r="B311" s="34"/>
      <c r="C311" s="4" t="s">
        <v>1155</v>
      </c>
      <c r="D311" s="1472"/>
      <c r="E311" s="1250"/>
      <c r="F311" s="1411"/>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72"/>
      <c r="E312" s="1250"/>
      <c r="F312" s="1411" t="str">
        <f>INDEX(PT_DIFFERENTIATION_VTAR,MATCH(A312,PT_DIFFERENTIATION_VTAR_ID,0))</f>
        <v>Тариф на горячую воду (горячее водоснабжение)</v>
      </c>
      <c r="G312" s="1447"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1148</v>
      </c>
      <c r="D313" s="1472"/>
      <c r="E313" s="1250"/>
      <c r="F313" s="1411"/>
      <c r="G313" s="1447"/>
      <c r="H313" s="823"/>
      <c r="I313" s="52" t="s">
        <v>1147</v>
      </c>
      <c r="J313" s="111"/>
      <c r="K313" s="823"/>
      <c r="L313" s="108"/>
      <c r="M313" s="201"/>
      <c r="N313" s="196"/>
      <c r="O313" s="69"/>
      <c r="P313" s="69"/>
      <c r="AH313" s="11">
        <v>0</v>
      </c>
    </row>
    <row r="314" spans="1:34" s="11" customFormat="1" ht="0.75" hidden="1" customHeight="1">
      <c r="A314" s="34"/>
      <c r="B314" s="34"/>
      <c r="C314" s="4" t="s">
        <v>1155</v>
      </c>
      <c r="D314" s="1472"/>
      <c r="E314" s="1250"/>
      <c r="F314" s="1411"/>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72"/>
      <c r="E315" s="1250"/>
      <c r="F315" s="1411" t="str">
        <f>INDEX(PT_DIFFERENTIATION_VTAR,MATCH(A315,PT_DIFFERENTIATION_VTAR_ID,0))</f>
        <v>Тариф на транспортировку горячей воды</v>
      </c>
      <c r="G315" s="1447"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1148</v>
      </c>
      <c r="D316" s="1472"/>
      <c r="E316" s="1250"/>
      <c r="F316" s="1411"/>
      <c r="G316" s="1447"/>
      <c r="H316" s="823"/>
      <c r="I316" s="52" t="s">
        <v>1147</v>
      </c>
      <c r="J316" s="111"/>
      <c r="K316" s="823"/>
      <c r="L316" s="108"/>
      <c r="M316" s="201"/>
      <c r="N316" s="196"/>
      <c r="O316" s="69"/>
      <c r="P316" s="69"/>
      <c r="AH316" s="11">
        <v>0</v>
      </c>
    </row>
    <row r="317" spans="1:34" s="11" customFormat="1" ht="0.75" hidden="1" customHeight="1">
      <c r="A317" s="34"/>
      <c r="B317" s="34"/>
      <c r="C317" s="4" t="s">
        <v>1155</v>
      </c>
      <c r="D317" s="1472"/>
      <c r="E317" s="1250"/>
      <c r="F317" s="1411"/>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72"/>
      <c r="E318" s="1250"/>
      <c r="F318" s="1411"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47"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1148</v>
      </c>
      <c r="D319" s="1472"/>
      <c r="E319" s="1250"/>
      <c r="F319" s="1411"/>
      <c r="G319" s="1447"/>
      <c r="H319" s="823"/>
      <c r="I319" s="52" t="s">
        <v>1147</v>
      </c>
      <c r="J319" s="111"/>
      <c r="K319" s="823"/>
      <c r="L319" s="108"/>
      <c r="M319" s="201"/>
      <c r="N319" s="196"/>
      <c r="O319" s="69"/>
      <c r="P319" s="69"/>
      <c r="AH319" s="11">
        <v>0</v>
      </c>
    </row>
    <row r="320" spans="1:34" s="11" customFormat="1" ht="0.75" hidden="1" customHeight="1">
      <c r="A320" s="34"/>
      <c r="B320" s="34"/>
      <c r="C320" s="4" t="s">
        <v>1155</v>
      </c>
      <c r="D320" s="1472"/>
      <c r="E320" s="1250"/>
      <c r="F320" s="1411"/>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72"/>
      <c r="E321" s="1250"/>
      <c r="F321" s="1411" t="str">
        <f>INDEX(PT_DIFFERENTIATION_VTAR,MATCH(A321,PT_DIFFERENTIATION_VTAR_ID,0))</f>
        <v>Тариф на водоотведение</v>
      </c>
      <c r="G321" s="1447"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1148</v>
      </c>
      <c r="D322" s="1472"/>
      <c r="E322" s="1250"/>
      <c r="F322" s="1411"/>
      <c r="G322" s="1447"/>
      <c r="H322" s="823"/>
      <c r="I322" s="52" t="s">
        <v>1147</v>
      </c>
      <c r="J322" s="111"/>
      <c r="K322" s="823"/>
      <c r="L322" s="108"/>
      <c r="M322" s="201"/>
      <c r="N322" s="196"/>
      <c r="O322" s="69"/>
      <c r="P322" s="69"/>
      <c r="AH322" s="11">
        <v>0</v>
      </c>
    </row>
    <row r="323" spans="1:34" s="11" customFormat="1" ht="0.75" hidden="1" customHeight="1">
      <c r="A323" s="34"/>
      <c r="B323" s="34"/>
      <c r="C323" s="4" t="s">
        <v>1155</v>
      </c>
      <c r="D323" s="1472"/>
      <c r="E323" s="1250"/>
      <c r="F323" s="1411"/>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72"/>
      <c r="E324" s="1250"/>
      <c r="F324" s="1411" t="str">
        <f>INDEX(PT_DIFFERENTIATION_VTAR,MATCH(A324,PT_DIFFERENTIATION_VTAR_ID,0))</f>
        <v>Тариф на транспортировку сточных вод</v>
      </c>
      <c r="G324" s="1447" t="str">
        <f>INDEX(PT_DIFFERENTIATION_NTAR,MATCH(B324,PT_DIFFERENTIATION_NTAR_ID,0))</f>
        <v>Транспортировка сточных вод</v>
      </c>
      <c r="H324" s="763"/>
      <c r="I324" s="948"/>
      <c r="J324" s="974"/>
      <c r="K324" s="366"/>
      <c r="L324" s="763" t="s">
        <v>310</v>
      </c>
      <c r="M324" s="201"/>
      <c r="N324" s="196"/>
      <c r="O324" s="69"/>
      <c r="P324" s="69"/>
      <c r="AH324" s="11">
        <v>0</v>
      </c>
    </row>
    <row r="325" spans="1:34" s="11" customFormat="1" ht="18.75" hidden="1" customHeight="1">
      <c r="A325" s="34"/>
      <c r="B325" s="34"/>
      <c r="C325" s="4" t="s">
        <v>1148</v>
      </c>
      <c r="D325" s="1472"/>
      <c r="E325" s="1250"/>
      <c r="F325" s="1411"/>
      <c r="G325" s="1447"/>
      <c r="H325" s="823"/>
      <c r="I325" s="52" t="s">
        <v>1147</v>
      </c>
      <c r="J325" s="111"/>
      <c r="K325" s="823"/>
      <c r="L325" s="108"/>
      <c r="M325" s="201"/>
      <c r="N325" s="196"/>
      <c r="O325" s="69"/>
      <c r="P325" s="69"/>
      <c r="AH325" s="11">
        <v>0</v>
      </c>
    </row>
    <row r="326" spans="1:34" s="11" customFormat="1" ht="0.75" hidden="1" customHeight="1">
      <c r="A326" s="34"/>
      <c r="B326" s="34"/>
      <c r="C326" s="4" t="s">
        <v>1155</v>
      </c>
      <c r="D326" s="1472"/>
      <c r="E326" s="1250"/>
      <c r="F326" s="1411"/>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72"/>
      <c r="E327" s="1250"/>
      <c r="F327" s="1411" t="str">
        <f>INDEX(PT_DIFFERENTIATION_VTAR,MATCH(A327,PT_DIFFERENTIATION_VTAR_ID,0))</f>
        <v>Тариф на подключение (технологическое присоединение) к централизованной системе водоотведения</v>
      </c>
      <c r="G327" s="1447"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1148</v>
      </c>
      <c r="D328" s="1472"/>
      <c r="E328" s="1250"/>
      <c r="F328" s="1411"/>
      <c r="G328" s="1447"/>
      <c r="H328" s="823"/>
      <c r="I328" s="52" t="s">
        <v>1147</v>
      </c>
      <c r="J328" s="111"/>
      <c r="K328" s="823"/>
      <c r="L328" s="108"/>
      <c r="M328" s="201"/>
      <c r="N328" s="196"/>
      <c r="O328" s="69"/>
      <c r="P328" s="69"/>
      <c r="AH328" s="11">
        <v>0</v>
      </c>
    </row>
    <row r="329" spans="1:34" s="11" customFormat="1" ht="1.05" customHeight="1">
      <c r="A329" s="34"/>
      <c r="B329" s="34"/>
      <c r="C329" s="4" t="s">
        <v>1155</v>
      </c>
      <c r="D329" s="1472"/>
      <c r="E329" s="1250"/>
      <c r="F329" s="1411"/>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3"/>
      <c r="G331" s="1293"/>
      <c r="H331" s="1293"/>
      <c r="I331" s="1293"/>
      <c r="J331" s="1293"/>
      <c r="K331" s="1293"/>
      <c r="L331" s="1293"/>
      <c r="M331" s="1293"/>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33" hidden="1" customWidth="1"/>
    <col min="2" max="2" width="9.1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625" style="11" hidden="1"/>
  </cols>
  <sheetData>
    <row r="1" spans="1:18" ht="22.5" hidden="1" customHeight="1">
      <c r="N1" s="150"/>
      <c r="O1" s="150"/>
      <c r="Q1" s="150"/>
      <c r="R1" s="11" t="s">
        <v>14</v>
      </c>
    </row>
    <row r="2" spans="1:18" s="11" customFormat="1" ht="18.75" hidden="1" customHeight="1">
      <c r="A2" s="34"/>
      <c r="B2" s="63"/>
      <c r="C2" s="939" t="s">
        <v>522</v>
      </c>
      <c r="D2" s="64"/>
      <c r="E2" s="497"/>
      <c r="F2" s="151"/>
      <c r="G2" s="117"/>
      <c r="I2" s="69"/>
      <c r="J2" s="69"/>
      <c r="R2" s="11">
        <v>0</v>
      </c>
    </row>
    <row r="3" spans="1:18" ht="14.25" hidden="1" customHeight="1">
      <c r="R3" s="11">
        <v>0</v>
      </c>
    </row>
    <row r="4" spans="1:18" ht="6.3" customHeight="1">
      <c r="C4" s="28"/>
      <c r="D4" s="10"/>
      <c r="E4" s="10"/>
      <c r="F4" s="10"/>
      <c r="G4" s="20"/>
      <c r="H4" s="20"/>
      <c r="R4" s="11">
        <v>6</v>
      </c>
    </row>
    <row r="5" spans="1:18" ht="34.5" customHeight="1">
      <c r="C5" s="28"/>
      <c r="D5" s="12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11"/>
      <c r="F5" s="1211"/>
      <c r="G5" s="1212"/>
      <c r="H5" s="156"/>
      <c r="R5" s="11">
        <v>33</v>
      </c>
    </row>
    <row r="6" spans="1:18" s="11" customFormat="1" ht="18" customHeight="1">
      <c r="A6" s="33"/>
      <c r="B6" s="63"/>
      <c r="C6" s="28"/>
      <c r="D6" s="1269" t="str">
        <f>IF(org=0,"Не определено",org)</f>
        <v>АО "Юграавиа"</v>
      </c>
      <c r="E6" s="1270"/>
      <c r="F6" s="1270"/>
      <c r="G6" s="1271"/>
      <c r="H6" s="156"/>
      <c r="J6" s="69"/>
      <c r="K6" s="69"/>
      <c r="R6" s="11">
        <v>17</v>
      </c>
    </row>
    <row r="7" spans="1:18" ht="14.7" customHeight="1">
      <c r="C7" s="28"/>
      <c r="D7" s="10"/>
      <c r="E7" s="14"/>
      <c r="F7" s="14"/>
      <c r="G7" s="435"/>
      <c r="H7" s="101"/>
      <c r="R7" s="11">
        <v>14</v>
      </c>
    </row>
    <row r="8" spans="1:18" ht="14.7" customHeight="1">
      <c r="C8" s="28"/>
      <c r="D8" s="1255" t="s">
        <v>304</v>
      </c>
      <c r="E8" s="1255"/>
      <c r="F8" s="1255"/>
      <c r="G8" s="1255"/>
      <c r="H8" s="1421" t="s">
        <v>305</v>
      </c>
      <c r="R8" s="11">
        <v>14</v>
      </c>
    </row>
    <row r="9" spans="1:18" ht="24" customHeight="1">
      <c r="C9" s="28"/>
      <c r="D9" s="36" t="s">
        <v>89</v>
      </c>
      <c r="E9" s="39" t="s">
        <v>306</v>
      </c>
      <c r="F9" s="39" t="s">
        <v>307</v>
      </c>
      <c r="G9" s="39" t="s">
        <v>394</v>
      </c>
      <c r="H9" s="1421"/>
      <c r="R9" s="11">
        <v>23</v>
      </c>
    </row>
    <row r="10" spans="1:18" ht="14.7"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204" t="s">
        <v>1156</v>
      </c>
      <c r="R10" s="11">
        <v>14</v>
      </c>
    </row>
    <row r="11" spans="1:18" ht="14.7"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205"/>
      <c r="R11" s="11">
        <v>14</v>
      </c>
    </row>
    <row r="12" spans="1:18" ht="14.7"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2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7"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5"/>
      <c r="I13" s="69"/>
      <c r="K13" s="11"/>
      <c r="R13" s="11">
        <v>14</v>
      </c>
    </row>
    <row r="14" spans="1:18" ht="14.7" customHeight="1">
      <c r="A14" s="34"/>
      <c r="C14" s="28"/>
      <c r="D14" s="40"/>
      <c r="E14" s="52" t="s">
        <v>326</v>
      </c>
      <c r="F14" s="111"/>
      <c r="G14" s="108"/>
      <c r="H14" s="1206"/>
      <c r="R14" s="11">
        <v>14</v>
      </c>
    </row>
    <row r="15" spans="1:18" s="11" customFormat="1" ht="14.7" customHeight="1">
      <c r="A15" s="34"/>
      <c r="B15" s="63"/>
      <c r="C15" s="28"/>
      <c r="D15" s="225"/>
      <c r="E15" s="902"/>
      <c r="F15" s="903"/>
      <c r="G15" s="904"/>
      <c r="H15" s="905"/>
      <c r="J15" s="69"/>
      <c r="K15" s="69"/>
      <c r="R15" s="11">
        <v>14</v>
      </c>
    </row>
    <row r="16" spans="1:18" ht="14.7" customHeight="1">
      <c r="D16" s="198"/>
      <c r="E16" s="1293"/>
      <c r="F16" s="1293"/>
      <c r="G16" s="1293"/>
      <c r="H16" s="1293"/>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O126" sqref="O126:O128"/>
    </sheetView>
  </sheetViews>
  <sheetFormatPr defaultColWidth="9.125" defaultRowHeight="11.25" customHeight="1"/>
  <cols>
    <col min="1" max="2" width="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5" style="35" hidden="1" customWidth="1"/>
    <col min="21" max="21" width="5.75" style="35" hidden="1" customWidth="1"/>
    <col min="22" max="22" width="34.375" style="35" hidden="1" customWidth="1"/>
    <col min="23" max="23" width="30" style="35" customWidth="1"/>
    <col min="24" max="24" width="3" style="35" customWidth="1"/>
    <col min="25" max="28" width="9.875" style="17" hidden="1" customWidth="1"/>
    <col min="29" max="29" width="27" style="17" hidden="1" customWidth="1"/>
    <col min="30" max="30" width="10.625" style="17" hidden="1" customWidth="1"/>
    <col min="31" max="31" width="10.75" style="17" hidden="1" customWidth="1"/>
    <col min="32" max="32" width="10" style="17" hidden="1" customWidth="1"/>
    <col min="33" max="33" width="12.875" style="17" hidden="1" customWidth="1"/>
    <col min="34" max="34" width="24.375" style="17" hidden="1" customWidth="1"/>
    <col min="35" max="35" width="15.875" style="17" hidden="1" customWidth="1"/>
    <col min="36" max="36" width="19.375" style="17" hidden="1" customWidth="1"/>
    <col min="37" max="37" width="11" style="17" hidden="1" customWidth="1"/>
    <col min="38" max="38" width="23.625" style="17" hidden="1" customWidth="1"/>
    <col min="39" max="39" width="23.875" style="17" hidden="1" customWidth="1"/>
    <col min="40" max="40" width="25.25" style="17" hidden="1" customWidth="1"/>
    <col min="41" max="41" width="16.875" style="17" hidden="1" customWidth="1"/>
    <col min="42" max="42" width="29.625" style="17" hidden="1" customWidth="1"/>
    <col min="43" max="43" width="29.875" style="17" hidden="1" customWidth="1"/>
    <col min="44" max="44" width="9.1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5" customHeight="1">
      <c r="A5" s="70"/>
      <c r="B5" s="70"/>
      <c r="D5" s="121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11"/>
      <c r="F5" s="1211"/>
      <c r="G5" s="1211"/>
      <c r="H5" s="1211"/>
      <c r="I5" s="1211"/>
      <c r="J5" s="1212"/>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7" customHeight="1">
      <c r="A6" s="17"/>
      <c r="B6" s="17"/>
      <c r="C6" s="17"/>
      <c r="D6" s="1216" t="str">
        <f>IF(org=0,"Не определено",org)</f>
        <v>АО "Юграавиа"</v>
      </c>
      <c r="E6" s="1216"/>
      <c r="F6" s="1216"/>
      <c r="G6" s="1216"/>
      <c r="H6" s="1216"/>
      <c r="I6" s="1216"/>
      <c r="J6" s="1216"/>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55" customHeight="1">
      <c r="A7" s="69"/>
      <c r="B7" s="69"/>
      <c r="D7" s="1213"/>
      <c r="E7" s="1214"/>
      <c r="F7" s="1214"/>
      <c r="G7" s="1214"/>
      <c r="H7" s="1214"/>
      <c r="I7" s="1214"/>
      <c r="J7" s="1215"/>
      <c r="Y7" s="17"/>
      <c r="Z7" s="17"/>
      <c r="AA7" s="17"/>
      <c r="AB7" s="17"/>
      <c r="AC7" s="17"/>
      <c r="AD7" s="17"/>
      <c r="AE7" s="17"/>
      <c r="AF7" s="17"/>
      <c r="AG7" s="17"/>
      <c r="AH7" s="17"/>
      <c r="AI7" s="17"/>
      <c r="AJ7" s="17"/>
      <c r="AK7" s="17"/>
      <c r="AL7" s="17"/>
      <c r="AM7" s="17"/>
      <c r="AN7" s="17"/>
      <c r="AO7" s="17"/>
      <c r="AP7" s="17"/>
      <c r="AQ7" s="17"/>
      <c r="AR7" s="162">
        <v>11</v>
      </c>
    </row>
    <row r="8" spans="1:44" s="42" customFormat="1" ht="1.05"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8" t="s">
        <v>89</v>
      </c>
      <c r="E9" s="1140" t="s">
        <v>123</v>
      </c>
      <c r="F9" s="1139"/>
      <c r="G9" s="1158" t="s">
        <v>106</v>
      </c>
      <c r="H9" s="1158" t="s">
        <v>89</v>
      </c>
      <c r="I9" s="1158"/>
      <c r="J9" s="1158" t="s">
        <v>124</v>
      </c>
      <c r="K9" s="1217" t="s">
        <v>125</v>
      </c>
      <c r="L9" s="1217"/>
      <c r="M9" s="1217"/>
      <c r="N9" s="1217"/>
      <c r="O9" s="1217" t="s">
        <v>126</v>
      </c>
      <c r="P9" s="1217"/>
      <c r="Q9" s="1217"/>
      <c r="R9" s="1217"/>
      <c r="S9" s="1217" t="s">
        <v>127</v>
      </c>
      <c r="T9" s="1217"/>
      <c r="U9" s="1217"/>
      <c r="V9" s="1217"/>
      <c r="W9" s="1158" t="s">
        <v>128</v>
      </c>
      <c r="AR9" s="35">
        <v>27</v>
      </c>
    </row>
    <row r="10" spans="1:44" ht="31.5" customHeight="1">
      <c r="D10" s="1158"/>
      <c r="E10" s="41" t="s">
        <v>90</v>
      </c>
      <c r="F10" s="41" t="s">
        <v>129</v>
      </c>
      <c r="G10" s="1158"/>
      <c r="H10" s="1158"/>
      <c r="I10" s="1158"/>
      <c r="J10" s="1158"/>
      <c r="K10" s="41" t="s">
        <v>109</v>
      </c>
      <c r="L10" s="1158" t="s">
        <v>89</v>
      </c>
      <c r="M10" s="1158"/>
      <c r="N10" s="41" t="s">
        <v>130</v>
      </c>
      <c r="O10" s="41" t="s">
        <v>109</v>
      </c>
      <c r="P10" s="1158" t="s">
        <v>89</v>
      </c>
      <c r="Q10" s="1158"/>
      <c r="R10" s="41" t="s">
        <v>130</v>
      </c>
      <c r="S10" s="41" t="s">
        <v>109</v>
      </c>
      <c r="T10" s="1158" t="s">
        <v>89</v>
      </c>
      <c r="U10" s="1158"/>
      <c r="V10" s="41" t="s">
        <v>90</v>
      </c>
      <c r="W10" s="1158"/>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209" t="s">
        <v>112</v>
      </c>
      <c r="I11" s="1209"/>
      <c r="J11" s="724" t="s">
        <v>93</v>
      </c>
      <c r="K11" s="724" t="s">
        <v>94</v>
      </c>
      <c r="L11" s="1209" t="s">
        <v>113</v>
      </c>
      <c r="M11" s="1209"/>
      <c r="N11" s="724" t="s">
        <v>149</v>
      </c>
      <c r="O11" s="724" t="s">
        <v>150</v>
      </c>
      <c r="P11" s="1209" t="s">
        <v>151</v>
      </c>
      <c r="Q11" s="1209"/>
      <c r="R11" s="724" t="s">
        <v>152</v>
      </c>
      <c r="S11" s="724" t="s">
        <v>151</v>
      </c>
      <c r="T11" s="1209" t="s">
        <v>152</v>
      </c>
      <c r="U11" s="1209"/>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1">
        <v>1</v>
      </c>
      <c r="E13" s="1180" t="s">
        <v>155</v>
      </c>
      <c r="F13" s="1193" t="s">
        <v>19</v>
      </c>
      <c r="G13" s="1180"/>
      <c r="H13" s="1182"/>
      <c r="I13" s="1184"/>
      <c r="J13" s="1186"/>
      <c r="K13" s="1178"/>
      <c r="L13" s="1178"/>
      <c r="M13" s="1178"/>
      <c r="N13" s="1189"/>
      <c r="O13" s="1178"/>
      <c r="P13" s="1178"/>
      <c r="Q13" s="1178"/>
      <c r="R13" s="1176"/>
      <c r="S13" s="1178"/>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1"/>
      <c r="E14" s="1180"/>
      <c r="F14" s="1194"/>
      <c r="G14" s="1180"/>
      <c r="H14" s="1183"/>
      <c r="I14" s="1185"/>
      <c r="J14" s="1187"/>
      <c r="K14" s="1179"/>
      <c r="L14" s="1179"/>
      <c r="M14" s="1179"/>
      <c r="N14" s="1190"/>
      <c r="O14" s="1179"/>
      <c r="P14" s="1179"/>
      <c r="Q14" s="1179"/>
      <c r="R14" s="1177"/>
      <c r="S14" s="1179"/>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1"/>
      <c r="E15" s="1180"/>
      <c r="F15" s="1194"/>
      <c r="G15" s="1180"/>
      <c r="H15" s="1183"/>
      <c r="I15" s="1185"/>
      <c r="J15" s="1188"/>
      <c r="K15" s="1179"/>
      <c r="L15" s="1179"/>
      <c r="M15" s="1179"/>
      <c r="N15" s="1177"/>
      <c r="O15" s="1179"/>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1"/>
      <c r="E16" s="1180"/>
      <c r="F16" s="1194"/>
      <c r="G16" s="1180"/>
      <c r="H16" s="1183"/>
      <c r="I16" s="1185"/>
      <c r="J16" s="1188"/>
      <c r="K16" s="1179"/>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2"/>
      <c r="E17" s="1181"/>
      <c r="F17" s="1195"/>
      <c r="G17" s="1181"/>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1">
        <v>2</v>
      </c>
      <c r="E18" s="1207"/>
      <c r="F18" s="1193" t="s">
        <v>19</v>
      </c>
      <c r="G18" s="1180"/>
      <c r="H18" s="1182"/>
      <c r="I18" s="1184"/>
      <c r="J18" s="1186"/>
      <c r="K18" s="1178"/>
      <c r="L18" s="1178"/>
      <c r="M18" s="1178"/>
      <c r="N18" s="1189"/>
      <c r="O18" s="1178"/>
      <c r="P18" s="1178"/>
      <c r="Q18" s="1178"/>
      <c r="R18" s="1176"/>
      <c r="S18" s="1178"/>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1"/>
      <c r="E19" s="1207"/>
      <c r="F19" s="1194"/>
      <c r="G19" s="1180"/>
      <c r="H19" s="1183"/>
      <c r="I19" s="1185"/>
      <c r="J19" s="1187"/>
      <c r="K19" s="1179"/>
      <c r="L19" s="1179"/>
      <c r="M19" s="1179"/>
      <c r="N19" s="1190"/>
      <c r="O19" s="1179"/>
      <c r="P19" s="1179"/>
      <c r="Q19" s="1179"/>
      <c r="R19" s="1177"/>
      <c r="S19" s="1179"/>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2"/>
      <c r="E20" s="1208"/>
      <c r="F20" s="1194"/>
      <c r="G20" s="1181"/>
      <c r="H20" s="1183"/>
      <c r="I20" s="1185"/>
      <c r="J20" s="1188"/>
      <c r="K20" s="1179"/>
      <c r="L20" s="1179"/>
      <c r="M20" s="1179"/>
      <c r="N20" s="1177"/>
      <c r="O20" s="1179"/>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2"/>
      <c r="E21" s="1208"/>
      <c r="F21" s="1194"/>
      <c r="G21" s="1181"/>
      <c r="H21" s="1183"/>
      <c r="I21" s="1185"/>
      <c r="J21" s="1188"/>
      <c r="K21" s="1179"/>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2"/>
      <c r="E22" s="1208"/>
      <c r="F22" s="1195"/>
      <c r="G22" s="1181"/>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1">
        <v>2</v>
      </c>
      <c r="E23" s="1180" t="s">
        <v>166</v>
      </c>
      <c r="F23" s="1193" t="s">
        <v>19</v>
      </c>
      <c r="G23" s="1180"/>
      <c r="H23" s="1182"/>
      <c r="I23" s="1184"/>
      <c r="J23" s="1186"/>
      <c r="K23" s="1178"/>
      <c r="L23" s="1178"/>
      <c r="M23" s="1178"/>
      <c r="N23" s="1189"/>
      <c r="O23" s="1178"/>
      <c r="P23" s="1178"/>
      <c r="Q23" s="1178"/>
      <c r="R23" s="1176"/>
      <c r="S23" s="1178"/>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1"/>
      <c r="E24" s="1180"/>
      <c r="F24" s="1194"/>
      <c r="G24" s="1180"/>
      <c r="H24" s="1183"/>
      <c r="I24" s="1185"/>
      <c r="J24" s="1187"/>
      <c r="K24" s="1179"/>
      <c r="L24" s="1179"/>
      <c r="M24" s="1179"/>
      <c r="N24" s="1190"/>
      <c r="O24" s="1179"/>
      <c r="P24" s="1179"/>
      <c r="Q24" s="1179"/>
      <c r="R24" s="1177"/>
      <c r="S24" s="1179"/>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2"/>
      <c r="E25" s="1181"/>
      <c r="F25" s="1194"/>
      <c r="G25" s="1181"/>
      <c r="H25" s="1183"/>
      <c r="I25" s="1185"/>
      <c r="J25" s="1188"/>
      <c r="K25" s="1179"/>
      <c r="L25" s="1179"/>
      <c r="M25" s="1179"/>
      <c r="N25" s="1177"/>
      <c r="O25" s="1179"/>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2"/>
      <c r="E26" s="1181"/>
      <c r="F26" s="1194"/>
      <c r="G26" s="1181"/>
      <c r="H26" s="1183"/>
      <c r="I26" s="1185"/>
      <c r="J26" s="1188"/>
      <c r="K26" s="1179"/>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2"/>
      <c r="E27" s="1181"/>
      <c r="F27" s="1195"/>
      <c r="G27" s="1181"/>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1">
        <v>3</v>
      </c>
      <c r="E28" s="1180" t="s">
        <v>167</v>
      </c>
      <c r="F28" s="1193" t="s">
        <v>19</v>
      </c>
      <c r="G28" s="1180"/>
      <c r="H28" s="1182"/>
      <c r="I28" s="1184"/>
      <c r="J28" s="1186"/>
      <c r="K28" s="1178"/>
      <c r="L28" s="1178"/>
      <c r="M28" s="1178"/>
      <c r="N28" s="1189"/>
      <c r="O28" s="1178"/>
      <c r="P28" s="1178"/>
      <c r="Q28" s="1178"/>
      <c r="R28" s="1176"/>
      <c r="S28" s="1178"/>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1"/>
      <c r="E29" s="1180"/>
      <c r="F29" s="1194"/>
      <c r="G29" s="1180"/>
      <c r="H29" s="1183"/>
      <c r="I29" s="1185"/>
      <c r="J29" s="1187"/>
      <c r="K29" s="1179"/>
      <c r="L29" s="1179"/>
      <c r="M29" s="1179"/>
      <c r="N29" s="1190"/>
      <c r="O29" s="1179"/>
      <c r="P29" s="1179"/>
      <c r="Q29" s="1179"/>
      <c r="R29" s="1177"/>
      <c r="S29" s="1179"/>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2"/>
      <c r="E30" s="1181"/>
      <c r="F30" s="1194"/>
      <c r="G30" s="1181"/>
      <c r="H30" s="1183"/>
      <c r="I30" s="1185"/>
      <c r="J30" s="1188"/>
      <c r="K30" s="1179"/>
      <c r="L30" s="1179"/>
      <c r="M30" s="1179"/>
      <c r="N30" s="1177"/>
      <c r="O30" s="1179"/>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2"/>
      <c r="E31" s="1181"/>
      <c r="F31" s="1194"/>
      <c r="G31" s="1181"/>
      <c r="H31" s="1183"/>
      <c r="I31" s="1185"/>
      <c r="J31" s="1188"/>
      <c r="K31" s="1179"/>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2"/>
      <c r="E32" s="1181"/>
      <c r="F32" s="1195"/>
      <c r="G32" s="1181"/>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1">
        <v>4</v>
      </c>
      <c r="E33" s="1180" t="s">
        <v>173</v>
      </c>
      <c r="F33" s="1193" t="s">
        <v>19</v>
      </c>
      <c r="G33" s="1180"/>
      <c r="H33" s="1182"/>
      <c r="I33" s="1184"/>
      <c r="J33" s="1186"/>
      <c r="K33" s="1178"/>
      <c r="L33" s="1178"/>
      <c r="M33" s="1178"/>
      <c r="N33" s="1189"/>
      <c r="O33" s="1178"/>
      <c r="P33" s="1178"/>
      <c r="Q33" s="1178"/>
      <c r="R33" s="1176"/>
      <c r="S33" s="1178"/>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1"/>
      <c r="E34" s="1180"/>
      <c r="F34" s="1194"/>
      <c r="G34" s="1180"/>
      <c r="H34" s="1183"/>
      <c r="I34" s="1185"/>
      <c r="J34" s="1187"/>
      <c r="K34" s="1179"/>
      <c r="L34" s="1179"/>
      <c r="M34" s="1179"/>
      <c r="N34" s="1190"/>
      <c r="O34" s="1179"/>
      <c r="P34" s="1179"/>
      <c r="Q34" s="1179"/>
      <c r="R34" s="1177"/>
      <c r="S34" s="1179"/>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2"/>
      <c r="E35" s="1181"/>
      <c r="F35" s="1194"/>
      <c r="G35" s="1181"/>
      <c r="H35" s="1183"/>
      <c r="I35" s="1185"/>
      <c r="J35" s="1188"/>
      <c r="K35" s="1179"/>
      <c r="L35" s="1179"/>
      <c r="M35" s="1179"/>
      <c r="N35" s="1177"/>
      <c r="O35" s="1179"/>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2"/>
      <c r="E36" s="1181"/>
      <c r="F36" s="1194"/>
      <c r="G36" s="1181"/>
      <c r="H36" s="1183"/>
      <c r="I36" s="1185"/>
      <c r="J36" s="1188"/>
      <c r="K36" s="1179"/>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2"/>
      <c r="E37" s="1181"/>
      <c r="F37" s="1195"/>
      <c r="G37" s="1181"/>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1">
        <v>5</v>
      </c>
      <c r="E38" s="1180" t="s">
        <v>179</v>
      </c>
      <c r="F38" s="1193" t="s">
        <v>19</v>
      </c>
      <c r="G38" s="1180"/>
      <c r="H38" s="1182"/>
      <c r="I38" s="1184"/>
      <c r="J38" s="1186"/>
      <c r="K38" s="1178"/>
      <c r="L38" s="1178"/>
      <c r="M38" s="1178"/>
      <c r="N38" s="1189"/>
      <c r="O38" s="1178"/>
      <c r="P38" s="1178"/>
      <c r="Q38" s="1178"/>
      <c r="R38" s="1176"/>
      <c r="S38" s="1178"/>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1"/>
      <c r="E39" s="1180"/>
      <c r="F39" s="1194"/>
      <c r="G39" s="1180"/>
      <c r="H39" s="1183"/>
      <c r="I39" s="1185"/>
      <c r="J39" s="1187"/>
      <c r="K39" s="1179"/>
      <c r="L39" s="1179"/>
      <c r="M39" s="1179"/>
      <c r="N39" s="1190"/>
      <c r="O39" s="1179"/>
      <c r="P39" s="1179"/>
      <c r="Q39" s="1179"/>
      <c r="R39" s="1177"/>
      <c r="S39" s="1179"/>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2"/>
      <c r="E40" s="1181"/>
      <c r="F40" s="1194"/>
      <c r="G40" s="1181"/>
      <c r="H40" s="1183"/>
      <c r="I40" s="1185"/>
      <c r="J40" s="1188"/>
      <c r="K40" s="1179"/>
      <c r="L40" s="1179"/>
      <c r="M40" s="1179"/>
      <c r="N40" s="1177"/>
      <c r="O40" s="1179"/>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2"/>
      <c r="E41" s="1181"/>
      <c r="F41" s="1194"/>
      <c r="G41" s="1181"/>
      <c r="H41" s="1183"/>
      <c r="I41" s="1185"/>
      <c r="J41" s="1188"/>
      <c r="K41" s="1179"/>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2"/>
      <c r="E42" s="1181"/>
      <c r="F42" s="1195"/>
      <c r="G42" s="1181"/>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1">
        <v>6</v>
      </c>
      <c r="E43" s="1180" t="s">
        <v>185</v>
      </c>
      <c r="F43" s="1193" t="s">
        <v>19</v>
      </c>
      <c r="G43" s="1180"/>
      <c r="H43" s="1182"/>
      <c r="I43" s="1184"/>
      <c r="J43" s="1186"/>
      <c r="K43" s="1178"/>
      <c r="L43" s="1178"/>
      <c r="M43" s="1178"/>
      <c r="N43" s="1189"/>
      <c r="O43" s="1178"/>
      <c r="P43" s="1178"/>
      <c r="Q43" s="1178"/>
      <c r="R43" s="1176"/>
      <c r="S43" s="1178"/>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1"/>
      <c r="E44" s="1180"/>
      <c r="F44" s="1194"/>
      <c r="G44" s="1180"/>
      <c r="H44" s="1183"/>
      <c r="I44" s="1185"/>
      <c r="J44" s="1187"/>
      <c r="K44" s="1179"/>
      <c r="L44" s="1179"/>
      <c r="M44" s="1179"/>
      <c r="N44" s="1190"/>
      <c r="O44" s="1179"/>
      <c r="P44" s="1179"/>
      <c r="Q44" s="1179"/>
      <c r="R44" s="1177"/>
      <c r="S44" s="1179"/>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2"/>
      <c r="E45" s="1181"/>
      <c r="F45" s="1194"/>
      <c r="G45" s="1181"/>
      <c r="H45" s="1183"/>
      <c r="I45" s="1185"/>
      <c r="J45" s="1188"/>
      <c r="K45" s="1179"/>
      <c r="L45" s="1179"/>
      <c r="M45" s="1179"/>
      <c r="N45" s="1177"/>
      <c r="O45" s="1179"/>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2"/>
      <c r="E46" s="1181"/>
      <c r="F46" s="1194"/>
      <c r="G46" s="1181"/>
      <c r="H46" s="1183"/>
      <c r="I46" s="1185"/>
      <c r="J46" s="1188"/>
      <c r="K46" s="1179"/>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2"/>
      <c r="E47" s="1181"/>
      <c r="F47" s="1195"/>
      <c r="G47" s="1181"/>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204" t="s">
        <v>191</v>
      </c>
      <c r="F48" s="1193" t="s">
        <v>19</v>
      </c>
      <c r="G48" s="1204"/>
      <c r="H48" s="1182"/>
      <c r="I48" s="1184"/>
      <c r="J48" s="1186"/>
      <c r="K48" s="1178"/>
      <c r="L48" s="1178"/>
      <c r="M48" s="1178"/>
      <c r="N48" s="1189"/>
      <c r="O48" s="1178"/>
      <c r="P48" s="1178"/>
      <c r="Q48" s="1178"/>
      <c r="R48" s="1176"/>
      <c r="S48" s="1178"/>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5"/>
      <c r="F49" s="1194"/>
      <c r="G49" s="1205"/>
      <c r="H49" s="1183"/>
      <c r="I49" s="1185"/>
      <c r="J49" s="1187"/>
      <c r="K49" s="1179"/>
      <c r="L49" s="1179"/>
      <c r="M49" s="1179"/>
      <c r="N49" s="1190"/>
      <c r="O49" s="1179"/>
      <c r="P49" s="1179"/>
      <c r="Q49" s="1179"/>
      <c r="R49" s="1177"/>
      <c r="S49" s="1179"/>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5"/>
      <c r="F50" s="1194"/>
      <c r="G50" s="1205"/>
      <c r="H50" s="1183"/>
      <c r="I50" s="1185"/>
      <c r="J50" s="1188"/>
      <c r="K50" s="1179"/>
      <c r="L50" s="1179"/>
      <c r="M50" s="1179"/>
      <c r="N50" s="1177"/>
      <c r="O50" s="1179"/>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5"/>
      <c r="F51" s="1194"/>
      <c r="G51" s="1205"/>
      <c r="H51" s="1183"/>
      <c r="I51" s="1185"/>
      <c r="J51" s="1188"/>
      <c r="K51" s="1179"/>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206"/>
      <c r="F52" s="1195"/>
      <c r="G52" s="1206"/>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1">
        <v>8</v>
      </c>
      <c r="E53" s="1180" t="s">
        <v>197</v>
      </c>
      <c r="F53" s="1193" t="s">
        <v>19</v>
      </c>
      <c r="G53" s="1180"/>
      <c r="H53" s="1182"/>
      <c r="I53" s="1184"/>
      <c r="J53" s="1186"/>
      <c r="K53" s="1178"/>
      <c r="L53" s="1178"/>
      <c r="M53" s="1178"/>
      <c r="N53" s="1189"/>
      <c r="O53" s="1178"/>
      <c r="P53" s="1178"/>
      <c r="Q53" s="1178"/>
      <c r="R53" s="1176"/>
      <c r="S53" s="1178"/>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1"/>
      <c r="E54" s="1180"/>
      <c r="F54" s="1194"/>
      <c r="G54" s="1180"/>
      <c r="H54" s="1183"/>
      <c r="I54" s="1185"/>
      <c r="J54" s="1187"/>
      <c r="K54" s="1179"/>
      <c r="L54" s="1179"/>
      <c r="M54" s="1179"/>
      <c r="N54" s="1190"/>
      <c r="O54" s="1179"/>
      <c r="P54" s="1179"/>
      <c r="Q54" s="1179"/>
      <c r="R54" s="1177"/>
      <c r="S54" s="1179"/>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2"/>
      <c r="E55" s="1181"/>
      <c r="F55" s="1194"/>
      <c r="G55" s="1181"/>
      <c r="H55" s="1183"/>
      <c r="I55" s="1185"/>
      <c r="J55" s="1188"/>
      <c r="K55" s="1179"/>
      <c r="L55" s="1179"/>
      <c r="M55" s="1179"/>
      <c r="N55" s="1177"/>
      <c r="O55" s="1179"/>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2"/>
      <c r="E56" s="1181"/>
      <c r="F56" s="1194"/>
      <c r="G56" s="1181"/>
      <c r="H56" s="1183"/>
      <c r="I56" s="1185"/>
      <c r="J56" s="1188"/>
      <c r="K56" s="1179"/>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2"/>
      <c r="E57" s="1181"/>
      <c r="F57" s="1195"/>
      <c r="G57" s="1181"/>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1">
        <v>9</v>
      </c>
      <c r="E58" s="1180" t="s">
        <v>203</v>
      </c>
      <c r="F58" s="1193" t="s">
        <v>19</v>
      </c>
      <c r="G58" s="1180"/>
      <c r="H58" s="1182"/>
      <c r="I58" s="1184"/>
      <c r="J58" s="1186"/>
      <c r="K58" s="1178"/>
      <c r="L58" s="1178"/>
      <c r="M58" s="1178"/>
      <c r="N58" s="1189"/>
      <c r="O58" s="1178"/>
      <c r="P58" s="1178"/>
      <c r="Q58" s="1178"/>
      <c r="R58" s="1176"/>
      <c r="S58" s="1178"/>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1"/>
      <c r="E59" s="1180"/>
      <c r="F59" s="1194"/>
      <c r="G59" s="1180"/>
      <c r="H59" s="1183"/>
      <c r="I59" s="1185"/>
      <c r="J59" s="1187"/>
      <c r="K59" s="1179"/>
      <c r="L59" s="1179"/>
      <c r="M59" s="1179"/>
      <c r="N59" s="1190"/>
      <c r="O59" s="1179"/>
      <c r="P59" s="1179"/>
      <c r="Q59" s="1179"/>
      <c r="R59" s="1177"/>
      <c r="S59" s="1179"/>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2"/>
      <c r="E60" s="1181"/>
      <c r="F60" s="1194"/>
      <c r="G60" s="1181"/>
      <c r="H60" s="1183"/>
      <c r="I60" s="1185"/>
      <c r="J60" s="1188"/>
      <c r="K60" s="1179"/>
      <c r="L60" s="1179"/>
      <c r="M60" s="1179"/>
      <c r="N60" s="1177"/>
      <c r="O60" s="1179"/>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2"/>
      <c r="E61" s="1181"/>
      <c r="F61" s="1194"/>
      <c r="G61" s="1181"/>
      <c r="H61" s="1183"/>
      <c r="I61" s="1185"/>
      <c r="J61" s="1188"/>
      <c r="K61" s="1179"/>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2"/>
      <c r="E62" s="1181"/>
      <c r="F62" s="1195"/>
      <c r="G62" s="1181"/>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1">
        <v>10</v>
      </c>
      <c r="E63" s="1180" t="s">
        <v>209</v>
      </c>
      <c r="F63" s="1193" t="s">
        <v>19</v>
      </c>
      <c r="G63" s="1180"/>
      <c r="H63" s="1182"/>
      <c r="I63" s="1184"/>
      <c r="J63" s="1186"/>
      <c r="K63" s="1178"/>
      <c r="L63" s="1178"/>
      <c r="M63" s="1178"/>
      <c r="N63" s="1189"/>
      <c r="O63" s="1178"/>
      <c r="P63" s="1178"/>
      <c r="Q63" s="1178"/>
      <c r="R63" s="1176"/>
      <c r="S63" s="1178"/>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1"/>
      <c r="E64" s="1180"/>
      <c r="F64" s="1194"/>
      <c r="G64" s="1180"/>
      <c r="H64" s="1183"/>
      <c r="I64" s="1185"/>
      <c r="J64" s="1187"/>
      <c r="K64" s="1179"/>
      <c r="L64" s="1179"/>
      <c r="M64" s="1179"/>
      <c r="N64" s="1190"/>
      <c r="O64" s="1179"/>
      <c r="P64" s="1179"/>
      <c r="Q64" s="1179"/>
      <c r="R64" s="1177"/>
      <c r="S64" s="1179"/>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2"/>
      <c r="E65" s="1181"/>
      <c r="F65" s="1194"/>
      <c r="G65" s="1181"/>
      <c r="H65" s="1183"/>
      <c r="I65" s="1185"/>
      <c r="J65" s="1188"/>
      <c r="K65" s="1179"/>
      <c r="L65" s="1179"/>
      <c r="M65" s="1179"/>
      <c r="N65" s="1177"/>
      <c r="O65" s="1179"/>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2"/>
      <c r="E66" s="1181"/>
      <c r="F66" s="1194"/>
      <c r="G66" s="1181"/>
      <c r="H66" s="1183"/>
      <c r="I66" s="1185"/>
      <c r="J66" s="1188"/>
      <c r="K66" s="1179"/>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2"/>
      <c r="E67" s="1181"/>
      <c r="F67" s="1195"/>
      <c r="G67" s="1181"/>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215</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216</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217</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218</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219</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220</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221</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222</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1">
        <v>1</v>
      </c>
      <c r="E79" s="1180" t="s">
        <v>223</v>
      </c>
      <c r="F79" s="1193" t="s">
        <v>19</v>
      </c>
      <c r="G79" s="1180"/>
      <c r="H79" s="1182"/>
      <c r="I79" s="1184"/>
      <c r="J79" s="1186"/>
      <c r="K79" s="1178"/>
      <c r="L79" s="1178"/>
      <c r="M79" s="1178"/>
      <c r="N79" s="1189"/>
      <c r="O79" s="1178"/>
      <c r="P79" s="1178"/>
      <c r="Q79" s="1178"/>
      <c r="R79" s="1176"/>
      <c r="S79" s="1178"/>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1"/>
      <c r="E80" s="1180"/>
      <c r="F80" s="1194"/>
      <c r="G80" s="1180"/>
      <c r="H80" s="1183"/>
      <c r="I80" s="1185"/>
      <c r="J80" s="1187"/>
      <c r="K80" s="1179"/>
      <c r="L80" s="1179"/>
      <c r="M80" s="1179"/>
      <c r="N80" s="1190"/>
      <c r="O80" s="1179"/>
      <c r="P80" s="1179"/>
      <c r="Q80" s="1179"/>
      <c r="R80" s="1177"/>
      <c r="S80" s="1179"/>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1"/>
      <c r="E81" s="1180"/>
      <c r="F81" s="1194"/>
      <c r="G81" s="1180"/>
      <c r="H81" s="1183"/>
      <c r="I81" s="1185"/>
      <c r="J81" s="1188"/>
      <c r="K81" s="1179"/>
      <c r="L81" s="1179"/>
      <c r="M81" s="1179"/>
      <c r="N81" s="1177"/>
      <c r="O81" s="1179"/>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1"/>
      <c r="E82" s="1180"/>
      <c r="F82" s="1194"/>
      <c r="G82" s="1180"/>
      <c r="H82" s="1183"/>
      <c r="I82" s="1185"/>
      <c r="J82" s="1188"/>
      <c r="K82" s="1179"/>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2"/>
      <c r="E83" s="1181"/>
      <c r="F83" s="1195"/>
      <c r="G83" s="1181"/>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1">
        <v>2</v>
      </c>
      <c r="E84" s="1180" t="s">
        <v>228</v>
      </c>
      <c r="F84" s="1193" t="s">
        <v>19</v>
      </c>
      <c r="G84" s="1180"/>
      <c r="H84" s="1182"/>
      <c r="I84" s="1184"/>
      <c r="J84" s="1186"/>
      <c r="K84" s="1178"/>
      <c r="L84" s="1178"/>
      <c r="M84" s="1178"/>
      <c r="N84" s="1189"/>
      <c r="O84" s="1178"/>
      <c r="P84" s="1178"/>
      <c r="Q84" s="1178"/>
      <c r="R84" s="1176"/>
      <c r="S84" s="1178"/>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1"/>
      <c r="E85" s="1180"/>
      <c r="F85" s="1194"/>
      <c r="G85" s="1180"/>
      <c r="H85" s="1183"/>
      <c r="I85" s="1185"/>
      <c r="J85" s="1187"/>
      <c r="K85" s="1179"/>
      <c r="L85" s="1179"/>
      <c r="M85" s="1179"/>
      <c r="N85" s="1190"/>
      <c r="O85" s="1179"/>
      <c r="P85" s="1179"/>
      <c r="Q85" s="1179"/>
      <c r="R85" s="1177"/>
      <c r="S85" s="1179"/>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2"/>
      <c r="E86" s="1181"/>
      <c r="F86" s="1194"/>
      <c r="G86" s="1181"/>
      <c r="H86" s="1183"/>
      <c r="I86" s="1185"/>
      <c r="J86" s="1188"/>
      <c r="K86" s="1179"/>
      <c r="L86" s="1179"/>
      <c r="M86" s="1179"/>
      <c r="N86" s="1177"/>
      <c r="O86" s="1179"/>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2"/>
      <c r="E87" s="1181"/>
      <c r="F87" s="1194"/>
      <c r="G87" s="1181"/>
      <c r="H87" s="1183"/>
      <c r="I87" s="1185"/>
      <c r="J87" s="1188"/>
      <c r="K87" s="1179"/>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2"/>
      <c r="E88" s="1181"/>
      <c r="F88" s="1195"/>
      <c r="G88" s="1181"/>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1">
        <v>3</v>
      </c>
      <c r="E89" s="1180" t="s">
        <v>233</v>
      </c>
      <c r="F89" s="1193" t="s">
        <v>19</v>
      </c>
      <c r="G89" s="1180"/>
      <c r="H89" s="1182"/>
      <c r="I89" s="1184"/>
      <c r="J89" s="1186"/>
      <c r="K89" s="1178"/>
      <c r="L89" s="1178"/>
      <c r="M89" s="1178"/>
      <c r="N89" s="1189"/>
      <c r="O89" s="1178"/>
      <c r="P89" s="1178"/>
      <c r="Q89" s="1178"/>
      <c r="R89" s="1176"/>
      <c r="S89" s="1178"/>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1"/>
      <c r="E90" s="1180"/>
      <c r="F90" s="1194"/>
      <c r="G90" s="1180"/>
      <c r="H90" s="1183"/>
      <c r="I90" s="1185"/>
      <c r="J90" s="1187"/>
      <c r="K90" s="1179"/>
      <c r="L90" s="1179"/>
      <c r="M90" s="1179"/>
      <c r="N90" s="1190"/>
      <c r="O90" s="1179"/>
      <c r="P90" s="1179"/>
      <c r="Q90" s="1179"/>
      <c r="R90" s="1177"/>
      <c r="S90" s="1179"/>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2"/>
      <c r="E91" s="1181"/>
      <c r="F91" s="1194"/>
      <c r="G91" s="1181"/>
      <c r="H91" s="1183"/>
      <c r="I91" s="1185"/>
      <c r="J91" s="1188"/>
      <c r="K91" s="1179"/>
      <c r="L91" s="1179"/>
      <c r="M91" s="1179"/>
      <c r="N91" s="1177"/>
      <c r="O91" s="1179"/>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2"/>
      <c r="E92" s="1181"/>
      <c r="F92" s="1194"/>
      <c r="G92" s="1181"/>
      <c r="H92" s="1183"/>
      <c r="I92" s="1185"/>
      <c r="J92" s="1188"/>
      <c r="K92" s="1179"/>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2"/>
      <c r="E93" s="1181"/>
      <c r="F93" s="1195"/>
      <c r="G93" s="1181"/>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1">
        <v>4</v>
      </c>
      <c r="E94" s="1180" t="s">
        <v>238</v>
      </c>
      <c r="F94" s="1193" t="s">
        <v>19</v>
      </c>
      <c r="G94" s="1180"/>
      <c r="H94" s="1182"/>
      <c r="I94" s="1184"/>
      <c r="J94" s="1186"/>
      <c r="K94" s="1178"/>
      <c r="L94" s="1178"/>
      <c r="M94" s="1178"/>
      <c r="N94" s="1189"/>
      <c r="O94" s="1178"/>
      <c r="P94" s="1178"/>
      <c r="Q94" s="1178"/>
      <c r="R94" s="1176"/>
      <c r="S94" s="1178"/>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1"/>
      <c r="E95" s="1180"/>
      <c r="F95" s="1194"/>
      <c r="G95" s="1180"/>
      <c r="H95" s="1183"/>
      <c r="I95" s="1185"/>
      <c r="J95" s="1187"/>
      <c r="K95" s="1179"/>
      <c r="L95" s="1179"/>
      <c r="M95" s="1179"/>
      <c r="N95" s="1190"/>
      <c r="O95" s="1179"/>
      <c r="P95" s="1179"/>
      <c r="Q95" s="1179"/>
      <c r="R95" s="1177"/>
      <c r="S95" s="1179"/>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2"/>
      <c r="E96" s="1181"/>
      <c r="F96" s="1194"/>
      <c r="G96" s="1181"/>
      <c r="H96" s="1183"/>
      <c r="I96" s="1185"/>
      <c r="J96" s="1188"/>
      <c r="K96" s="1179"/>
      <c r="L96" s="1179"/>
      <c r="M96" s="1179"/>
      <c r="N96" s="1177"/>
      <c r="O96" s="1179"/>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2"/>
      <c r="E97" s="1181"/>
      <c r="F97" s="1194"/>
      <c r="G97" s="1181"/>
      <c r="H97" s="1183"/>
      <c r="I97" s="1185"/>
      <c r="J97" s="1188"/>
      <c r="K97" s="1179"/>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2"/>
      <c r="E98" s="1181"/>
      <c r="F98" s="1195"/>
      <c r="G98" s="1181"/>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1">
        <v>5</v>
      </c>
      <c r="E99" s="1180" t="s">
        <v>243</v>
      </c>
      <c r="F99" s="1193" t="s">
        <v>19</v>
      </c>
      <c r="G99" s="1180"/>
      <c r="H99" s="1182"/>
      <c r="I99" s="1184"/>
      <c r="J99" s="1186"/>
      <c r="K99" s="1178"/>
      <c r="L99" s="1178"/>
      <c r="M99" s="1178"/>
      <c r="N99" s="1189"/>
      <c r="O99" s="1178"/>
      <c r="P99" s="1178"/>
      <c r="Q99" s="1178"/>
      <c r="R99" s="1176"/>
      <c r="S99" s="1178"/>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1"/>
      <c r="E100" s="1180"/>
      <c r="F100" s="1194"/>
      <c r="G100" s="1180"/>
      <c r="H100" s="1183"/>
      <c r="I100" s="1185"/>
      <c r="J100" s="1187"/>
      <c r="K100" s="1179"/>
      <c r="L100" s="1179"/>
      <c r="M100" s="1179"/>
      <c r="N100" s="1190"/>
      <c r="O100" s="1179"/>
      <c r="P100" s="1179"/>
      <c r="Q100" s="1179"/>
      <c r="R100" s="1177"/>
      <c r="S100" s="1179"/>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2"/>
      <c r="E101" s="1181"/>
      <c r="F101" s="1194"/>
      <c r="G101" s="1181"/>
      <c r="H101" s="1183"/>
      <c r="I101" s="1185"/>
      <c r="J101" s="1188"/>
      <c r="K101" s="1179"/>
      <c r="L101" s="1179"/>
      <c r="M101" s="1179"/>
      <c r="N101" s="1177"/>
      <c r="O101" s="1179"/>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2"/>
      <c r="E102" s="1181"/>
      <c r="F102" s="1194"/>
      <c r="G102" s="1181"/>
      <c r="H102" s="1183"/>
      <c r="I102" s="1185"/>
      <c r="J102" s="1188"/>
      <c r="K102" s="1179"/>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2"/>
      <c r="E103" s="1181"/>
      <c r="F103" s="1195"/>
      <c r="G103" s="1181"/>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1">
        <v>1</v>
      </c>
      <c r="E105" s="1180" t="s">
        <v>248</v>
      </c>
      <c r="F105" s="1193" t="s">
        <v>19</v>
      </c>
      <c r="G105" s="1180"/>
      <c r="H105" s="1182"/>
      <c r="I105" s="1184"/>
      <c r="J105" s="1186"/>
      <c r="K105" s="1178"/>
      <c r="L105" s="1178"/>
      <c r="M105" s="1178"/>
      <c r="N105" s="1189"/>
      <c r="O105" s="1178"/>
      <c r="P105" s="1178"/>
      <c r="Q105" s="1178"/>
      <c r="R105" s="1176"/>
      <c r="S105" s="1178"/>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1"/>
      <c r="E106" s="1180"/>
      <c r="F106" s="1194"/>
      <c r="G106" s="1180"/>
      <c r="H106" s="1183"/>
      <c r="I106" s="1185"/>
      <c r="J106" s="1187"/>
      <c r="K106" s="1179"/>
      <c r="L106" s="1179"/>
      <c r="M106" s="1179"/>
      <c r="N106" s="1190"/>
      <c r="O106" s="1179"/>
      <c r="P106" s="1179"/>
      <c r="Q106" s="1179"/>
      <c r="R106" s="1177"/>
      <c r="S106" s="1179"/>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1"/>
      <c r="E107" s="1180"/>
      <c r="F107" s="1194"/>
      <c r="G107" s="1180"/>
      <c r="H107" s="1183"/>
      <c r="I107" s="1185"/>
      <c r="J107" s="1188"/>
      <c r="K107" s="1179"/>
      <c r="L107" s="1179"/>
      <c r="M107" s="1179"/>
      <c r="N107" s="1177"/>
      <c r="O107" s="1179"/>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1"/>
      <c r="E108" s="1180"/>
      <c r="F108" s="1194"/>
      <c r="G108" s="1180"/>
      <c r="H108" s="1183"/>
      <c r="I108" s="1185"/>
      <c r="J108" s="1188"/>
      <c r="K108" s="1179"/>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2"/>
      <c r="E109" s="1181"/>
      <c r="F109" s="1195"/>
      <c r="G109" s="1181"/>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1">
        <v>2</v>
      </c>
      <c r="E110" s="1180" t="s">
        <v>253</v>
      </c>
      <c r="F110" s="1193" t="s">
        <v>19</v>
      </c>
      <c r="G110" s="1180"/>
      <c r="H110" s="1182"/>
      <c r="I110" s="1184"/>
      <c r="J110" s="1186"/>
      <c r="K110" s="1178"/>
      <c r="L110" s="1178"/>
      <c r="M110" s="1178"/>
      <c r="N110" s="1189"/>
      <c r="O110" s="1178"/>
      <c r="P110" s="1178"/>
      <c r="Q110" s="1178"/>
      <c r="R110" s="1176"/>
      <c r="S110" s="1178"/>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1"/>
      <c r="E111" s="1180"/>
      <c r="F111" s="1194"/>
      <c r="G111" s="1180"/>
      <c r="H111" s="1183"/>
      <c r="I111" s="1185"/>
      <c r="J111" s="1187"/>
      <c r="K111" s="1179"/>
      <c r="L111" s="1179"/>
      <c r="M111" s="1179"/>
      <c r="N111" s="1190"/>
      <c r="O111" s="1179"/>
      <c r="P111" s="1179"/>
      <c r="Q111" s="1179"/>
      <c r="R111" s="1177"/>
      <c r="S111" s="1179"/>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2"/>
      <c r="E112" s="1181"/>
      <c r="F112" s="1194"/>
      <c r="G112" s="1181"/>
      <c r="H112" s="1183"/>
      <c r="I112" s="1185"/>
      <c r="J112" s="1188"/>
      <c r="K112" s="1179"/>
      <c r="L112" s="1179"/>
      <c r="M112" s="1179"/>
      <c r="N112" s="1177"/>
      <c r="O112" s="1179"/>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2"/>
      <c r="E113" s="1181"/>
      <c r="F113" s="1194"/>
      <c r="G113" s="1181"/>
      <c r="H113" s="1183"/>
      <c r="I113" s="1185"/>
      <c r="J113" s="1188"/>
      <c r="K113" s="1179"/>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2"/>
      <c r="E114" s="1181"/>
      <c r="F114" s="1195"/>
      <c r="G114" s="1181"/>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1">
        <v>3</v>
      </c>
      <c r="E115" s="1180" t="s">
        <v>258</v>
      </c>
      <c r="F115" s="1193" t="s">
        <v>19</v>
      </c>
      <c r="G115" s="1180"/>
      <c r="H115" s="1182"/>
      <c r="I115" s="1184"/>
      <c r="J115" s="1186"/>
      <c r="K115" s="1178"/>
      <c r="L115" s="1178"/>
      <c r="M115" s="1178"/>
      <c r="N115" s="1189"/>
      <c r="O115" s="1178"/>
      <c r="P115" s="1178"/>
      <c r="Q115" s="1178"/>
      <c r="R115" s="1176"/>
      <c r="S115" s="1178"/>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1"/>
      <c r="E116" s="1180"/>
      <c r="F116" s="1194"/>
      <c r="G116" s="1180"/>
      <c r="H116" s="1183"/>
      <c r="I116" s="1185"/>
      <c r="J116" s="1187"/>
      <c r="K116" s="1179"/>
      <c r="L116" s="1179"/>
      <c r="M116" s="1179"/>
      <c r="N116" s="1190"/>
      <c r="O116" s="1179"/>
      <c r="P116" s="1179"/>
      <c r="Q116" s="1179"/>
      <c r="R116" s="1177"/>
      <c r="S116" s="1179"/>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2"/>
      <c r="E117" s="1181"/>
      <c r="F117" s="1194"/>
      <c r="G117" s="1181"/>
      <c r="H117" s="1183"/>
      <c r="I117" s="1185"/>
      <c r="J117" s="1188"/>
      <c r="K117" s="1179"/>
      <c r="L117" s="1179"/>
      <c r="M117" s="1179"/>
      <c r="N117" s="1177"/>
      <c r="O117" s="1179"/>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2"/>
      <c r="E118" s="1181"/>
      <c r="F118" s="1194"/>
      <c r="G118" s="1181"/>
      <c r="H118" s="1183"/>
      <c r="I118" s="1185"/>
      <c r="J118" s="1188"/>
      <c r="K118" s="1179"/>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2"/>
      <c r="E119" s="1181"/>
      <c r="F119" s="1195"/>
      <c r="G119" s="1181"/>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91">
        <v>1</v>
      </c>
      <c r="E121" s="1180" t="s">
        <v>263</v>
      </c>
      <c r="F121" s="1193" t="s">
        <v>19</v>
      </c>
      <c r="G121" s="1180"/>
      <c r="H121" s="1182"/>
      <c r="I121" s="1184"/>
      <c r="J121" s="1186"/>
      <c r="K121" s="1178"/>
      <c r="L121" s="1178"/>
      <c r="M121" s="1178"/>
      <c r="N121" s="1189"/>
      <c r="O121" s="1178"/>
      <c r="P121" s="1178"/>
      <c r="Q121" s="1178"/>
      <c r="R121" s="1176"/>
      <c r="S121" s="1178"/>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91"/>
      <c r="E122" s="1180"/>
      <c r="F122" s="1194"/>
      <c r="G122" s="1180"/>
      <c r="H122" s="1183"/>
      <c r="I122" s="1185"/>
      <c r="J122" s="1187"/>
      <c r="K122" s="1179"/>
      <c r="L122" s="1179"/>
      <c r="M122" s="1179"/>
      <c r="N122" s="1190"/>
      <c r="O122" s="1179"/>
      <c r="P122" s="1179"/>
      <c r="Q122" s="1179"/>
      <c r="R122" s="1177"/>
      <c r="S122" s="1179"/>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91"/>
      <c r="E123" s="1180"/>
      <c r="F123" s="1194"/>
      <c r="G123" s="1180"/>
      <c r="H123" s="1183"/>
      <c r="I123" s="1185"/>
      <c r="J123" s="1188"/>
      <c r="K123" s="1179"/>
      <c r="L123" s="1179"/>
      <c r="M123" s="1179"/>
      <c r="N123" s="1177"/>
      <c r="O123" s="1179"/>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91"/>
      <c r="E124" s="1180"/>
      <c r="F124" s="1194"/>
      <c r="G124" s="1180"/>
      <c r="H124" s="1183"/>
      <c r="I124" s="1185"/>
      <c r="J124" s="1188"/>
      <c r="K124" s="1179"/>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92"/>
      <c r="E125" s="1181"/>
      <c r="F125" s="1195"/>
      <c r="G125" s="1181"/>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91">
        <v>2</v>
      </c>
      <c r="E126" s="1180" t="s">
        <v>268</v>
      </c>
      <c r="F126" s="1193" t="s">
        <v>67</v>
      </c>
      <c r="G126" s="1196" t="str">
        <f>INDEX(VD_NAME_LIST,MATCH("4189713",VD_ID_LIST,0))</f>
        <v>Транспортировка</v>
      </c>
      <c r="H126" s="1221"/>
      <c r="I126" s="1221">
        <v>1</v>
      </c>
      <c r="J126" s="1222" t="s">
        <v>269</v>
      </c>
      <c r="K126" s="1224" t="s">
        <v>19</v>
      </c>
      <c r="L126" s="1169"/>
      <c r="M126" s="1169" t="s">
        <v>110</v>
      </c>
      <c r="N126" s="1218" t="s">
        <v>28</v>
      </c>
      <c r="O126" s="1224" t="s">
        <v>19</v>
      </c>
      <c r="P126" s="1169"/>
      <c r="Q126" s="1169" t="s">
        <v>110</v>
      </c>
      <c r="R126" s="1219" t="s">
        <v>28</v>
      </c>
      <c r="S126" s="1220" t="s">
        <v>19</v>
      </c>
      <c r="T126" s="816"/>
      <c r="U126" s="816" t="s">
        <v>110</v>
      </c>
      <c r="V126" s="809"/>
      <c r="W126" s="1222"/>
      <c r="X126" s="731"/>
      <c r="Y126" s="731"/>
      <c r="Z126" s="731"/>
      <c r="AA126" s="731"/>
      <c r="AB126" s="731" t="s">
        <v>270</v>
      </c>
      <c r="AC126" s="731" t="s">
        <v>271</v>
      </c>
      <c r="AD126" s="731" t="s">
        <v>272</v>
      </c>
      <c r="AE126" s="731" t="s">
        <v>273</v>
      </c>
      <c r="AF126" s="731" t="s">
        <v>274</v>
      </c>
      <c r="AG126" s="731"/>
      <c r="AH126" s="731" t="str">
        <f>IF($E$126=0,"",$E$126)</f>
        <v>Тариф на транспортировку сточных вод</v>
      </c>
      <c r="AI126" s="731" t="str">
        <f>IF($G$126=0,"",$G$126)</f>
        <v>Транспортировка</v>
      </c>
      <c r="AJ126" s="731" t="str">
        <f>IF($J$126=0,"",$J$126)</f>
        <v>Транспортировка сточных вод</v>
      </c>
      <c r="AK126" s="731" t="str">
        <f>IF($K$126="нет","без дифференциации",IF($N$126=0,"",$N$126))</f>
        <v>без дифференциации</v>
      </c>
      <c r="AL126" s="731" t="str">
        <f>IF($O$126="нет","без дифференциации",IF($R$126=0,"",$R$126))</f>
        <v>без дифференциации</v>
      </c>
      <c r="AM126" s="731" t="str">
        <f>IF($S$126="нет","без дифференциации",IF($V$126=0,"",$V$126))</f>
        <v>без дифференциации</v>
      </c>
      <c r="AN126" s="973">
        <f>$I$126</f>
        <v>1</v>
      </c>
      <c r="AO126" s="731" t="str">
        <f>$I$126&amp;"."&amp;$M$126</f>
        <v>1.1</v>
      </c>
      <c r="AP126" s="17" t="str">
        <f>$I$126&amp;"."&amp;$M$126&amp;"."&amp;$Q$126</f>
        <v>1.1.1</v>
      </c>
      <c r="AQ126" s="17" t="str">
        <f>$I$126&amp;"."&amp;$M$126&amp;"."&amp;$Q$126&amp;"."&amp;$U$126</f>
        <v>1.1.1.1</v>
      </c>
      <c r="AR126" s="35">
        <v>0</v>
      </c>
    </row>
    <row r="127" spans="1:44" s="35" customFormat="1" ht="17.25" customHeight="1">
      <c r="A127" s="188"/>
      <c r="D127" s="1191"/>
      <c r="E127" s="1180"/>
      <c r="F127" s="1194"/>
      <c r="G127" s="1196"/>
      <c r="H127" s="1221"/>
      <c r="I127" s="1221"/>
      <c r="J127" s="1222"/>
      <c r="K127" s="1225"/>
      <c r="L127" s="1169"/>
      <c r="M127" s="1169"/>
      <c r="N127" s="1218" t="s">
        <v>28</v>
      </c>
      <c r="O127" s="1225"/>
      <c r="P127" s="1169"/>
      <c r="Q127" s="1169"/>
      <c r="R127" s="1219" t="s">
        <v>28</v>
      </c>
      <c r="S127" s="1220"/>
      <c r="T127" s="810"/>
      <c r="U127" s="811"/>
      <c r="V127" s="811"/>
      <c r="W127" s="1222"/>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92"/>
      <c r="E128" s="1181"/>
      <c r="F128" s="1194"/>
      <c r="G128" s="1197"/>
      <c r="H128" s="1192"/>
      <c r="I128" s="1192"/>
      <c r="J128" s="1223"/>
      <c r="K128" s="1225"/>
      <c r="L128" s="1192"/>
      <c r="M128" s="1192"/>
      <c r="N128" s="1219" t="s">
        <v>28</v>
      </c>
      <c r="O128" s="1173"/>
      <c r="P128" s="185"/>
      <c r="Q128" s="186"/>
      <c r="R128" s="186" t="s">
        <v>275</v>
      </c>
      <c r="S128" s="998"/>
      <c r="T128" s="998"/>
      <c r="U128" s="998"/>
      <c r="V128" s="998"/>
      <c r="W128" s="80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92"/>
      <c r="E129" s="1181"/>
      <c r="F129" s="1194"/>
      <c r="G129" s="1197"/>
      <c r="H129" s="1192"/>
      <c r="I129" s="1192"/>
      <c r="J129" s="1223"/>
      <c r="K129" s="1173"/>
      <c r="L129" s="185"/>
      <c r="M129" s="186"/>
      <c r="N129" s="186" t="s">
        <v>276</v>
      </c>
      <c r="O129" s="186"/>
      <c r="P129" s="186"/>
      <c r="Q129" s="186"/>
      <c r="R129" s="186"/>
      <c r="S129" s="998"/>
      <c r="T129" s="998"/>
      <c r="U129" s="998"/>
      <c r="V129" s="998"/>
      <c r="W129" s="18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92"/>
      <c r="E130" s="1181"/>
      <c r="F130" s="1195"/>
      <c r="G130" s="1197"/>
      <c r="H130" s="185"/>
      <c r="I130" s="186"/>
      <c r="J130" s="186" t="s">
        <v>277</v>
      </c>
      <c r="K130" s="186"/>
      <c r="L130" s="186"/>
      <c r="M130" s="186"/>
      <c r="N130" s="186"/>
      <c r="O130" s="186"/>
      <c r="P130" s="186"/>
      <c r="Q130" s="186"/>
      <c r="R130" s="186"/>
      <c r="S130" s="998"/>
      <c r="T130" s="998"/>
      <c r="U130" s="998"/>
      <c r="V130" s="998"/>
      <c r="W130" s="187"/>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91">
        <v>3</v>
      </c>
      <c r="E131" s="1180" t="s">
        <v>278</v>
      </c>
      <c r="F131" s="1193" t="s">
        <v>19</v>
      </c>
      <c r="G131" s="1180"/>
      <c r="H131" s="1182"/>
      <c r="I131" s="1184"/>
      <c r="J131" s="1186"/>
      <c r="K131" s="1178"/>
      <c r="L131" s="1178"/>
      <c r="M131" s="1178"/>
      <c r="N131" s="1189"/>
      <c r="O131" s="1178"/>
      <c r="P131" s="1178"/>
      <c r="Q131" s="1178"/>
      <c r="R131" s="1176"/>
      <c r="S131" s="1178"/>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customHeight="1">
      <c r="A132" s="188"/>
      <c r="D132" s="1191"/>
      <c r="E132" s="1180"/>
      <c r="F132" s="1194"/>
      <c r="G132" s="1180"/>
      <c r="H132" s="1183"/>
      <c r="I132" s="1185"/>
      <c r="J132" s="1187"/>
      <c r="K132" s="1179"/>
      <c r="L132" s="1179"/>
      <c r="M132" s="1179"/>
      <c r="N132" s="1190"/>
      <c r="O132" s="1179"/>
      <c r="P132" s="1179"/>
      <c r="Q132" s="1179"/>
      <c r="R132" s="1177"/>
      <c r="S132" s="1179"/>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92"/>
      <c r="E133" s="1181"/>
      <c r="F133" s="1194"/>
      <c r="G133" s="1181"/>
      <c r="H133" s="1183"/>
      <c r="I133" s="1185"/>
      <c r="J133" s="1188"/>
      <c r="K133" s="1179"/>
      <c r="L133" s="1179"/>
      <c r="M133" s="1179"/>
      <c r="N133" s="1177"/>
      <c r="O133" s="1179"/>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92"/>
      <c r="E134" s="1181"/>
      <c r="F134" s="1194"/>
      <c r="G134" s="1181"/>
      <c r="H134" s="1183"/>
      <c r="I134" s="1185"/>
      <c r="J134" s="1188"/>
      <c r="K134" s="1179"/>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92"/>
      <c r="E135" s="1181"/>
      <c r="F135" s="1195"/>
      <c r="G135" s="1181"/>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55" customHeight="1">
      <c r="AR136" s="35">
        <v>11</v>
      </c>
    </row>
    <row r="137" spans="1:44" ht="11.55" customHeight="1">
      <c r="AR137" s="35">
        <v>11</v>
      </c>
    </row>
    <row r="138" spans="1:44" ht="11.55" customHeight="1">
      <c r="AR138" s="35">
        <v>11</v>
      </c>
    </row>
    <row r="139" spans="1:44" ht="11.55" customHeight="1">
      <c r="AR139" s="35">
        <v>11</v>
      </c>
    </row>
    <row r="140" spans="1:44" ht="11.55" customHeight="1">
      <c r="AR140" s="35">
        <v>11</v>
      </c>
    </row>
    <row r="141" spans="1:44" ht="11.55" customHeight="1">
      <c r="AR141" s="35">
        <v>11</v>
      </c>
    </row>
    <row r="142" spans="1:44" ht="11.55" customHeight="1">
      <c r="AR142" s="35">
        <v>11</v>
      </c>
    </row>
    <row r="143" spans="1:44" ht="11.55" customHeight="1">
      <c r="AR143" s="35">
        <v>11</v>
      </c>
    </row>
    <row r="144" spans="1:44" ht="11.55" customHeight="1">
      <c r="AR144" s="35">
        <v>11</v>
      </c>
    </row>
    <row r="145" spans="1:44" ht="11.5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M121:M123"/>
    <mergeCell ref="N121:N123"/>
    <mergeCell ref="P121:P122"/>
    <mergeCell ref="Q121:Q122"/>
    <mergeCell ref="R121:R122"/>
    <mergeCell ref="S121:S122"/>
    <mergeCell ref="D121:D125"/>
    <mergeCell ref="E121:E125"/>
    <mergeCell ref="F121:F125"/>
    <mergeCell ref="G121:G125"/>
    <mergeCell ref="O121:O12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N128"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K126 O126 S126:S127"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R126:R127 V126:W126 J126:J127"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8" hidden="1" customWidth="1"/>
    <col min="2" max="2" width="9.125" style="11" hidden="1" customWidth="1"/>
    <col min="3" max="3" width="4" style="87" customWidth="1"/>
    <col min="4" max="4" width="6" style="11" customWidth="1"/>
    <col min="5" max="5" width="47" style="11" customWidth="1"/>
    <col min="6" max="6" width="9" style="11" customWidth="1"/>
    <col min="7" max="7" width="25.75" style="11" hidden="1" customWidth="1"/>
    <col min="8" max="8" width="34" style="11" hidden="1" customWidth="1"/>
    <col min="9" max="9" width="25.75" style="11" customWidth="1"/>
    <col min="10" max="10" width="33" style="11" customWidth="1"/>
    <col min="11" max="11" width="50" style="63" customWidth="1"/>
    <col min="12" max="20" width="10" style="11" customWidth="1"/>
    <col min="21" max="21" width="10" style="302" customWidth="1"/>
    <col min="22" max="22" width="10.6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5" t="s">
        <v>1157</v>
      </c>
      <c r="E5" s="1275"/>
      <c r="F5" s="1275"/>
      <c r="G5" s="1275"/>
      <c r="H5" s="1275"/>
      <c r="I5" s="1275"/>
      <c r="J5" s="1275"/>
      <c r="V5" s="11">
        <v>63</v>
      </c>
    </row>
    <row r="6" spans="1:22" ht="15.75" customHeight="1">
      <c r="D6" s="1247" t="str">
        <f>IF(org=0,"Не определено",org)</f>
        <v>АО "Юграавиа"</v>
      </c>
      <c r="E6" s="1247"/>
      <c r="F6" s="1247"/>
      <c r="G6" s="1247"/>
      <c r="H6" s="1247"/>
      <c r="I6" s="1247"/>
      <c r="J6" s="1247"/>
      <c r="V6" s="11">
        <v>15</v>
      </c>
    </row>
    <row r="7" spans="1:22" ht="15.75" customHeight="1">
      <c r="D7" s="435"/>
      <c r="G7" s="63">
        <v>22</v>
      </c>
      <c r="I7" s="63">
        <v>1</v>
      </c>
      <c r="J7" s="435"/>
      <c r="V7" s="11">
        <v>15</v>
      </c>
    </row>
    <row r="8" spans="1:22" s="11" customFormat="1" ht="1.05" customHeight="1">
      <c r="A8" s="8"/>
      <c r="C8" s="87"/>
      <c r="G8" s="63"/>
      <c r="H8" s="435"/>
      <c r="I8" s="63" t="s">
        <v>118</v>
      </c>
      <c r="J8" s="435"/>
      <c r="K8" s="63"/>
      <c r="U8" s="302"/>
      <c r="V8" s="11">
        <v>1</v>
      </c>
    </row>
    <row r="9" spans="1:22" ht="15.75" customHeight="1">
      <c r="D9" s="409"/>
      <c r="E9" s="1404" t="s">
        <v>106</v>
      </c>
      <c r="F9" s="1405"/>
      <c r="G9" s="1429" t="str">
        <f>IF(G8="","",INDEX(DIFFERENTIATION_UNMERGE_VD,MATCH(G8,DIFFERENTIATION_ID_DIFF,0)))</f>
        <v/>
      </c>
      <c r="H9" s="1430"/>
      <c r="I9" s="1429">
        <f>IF(I8="","",INDEX(DIFFERENTIATION_UNMERGE_VD,MATCH(I8,DIFFERENTIATION_ID_DIFF,0)))</f>
        <v>0</v>
      </c>
      <c r="J9" s="1430"/>
      <c r="K9" s="1227" t="s">
        <v>305</v>
      </c>
      <c r="V9" s="11">
        <v>15</v>
      </c>
    </row>
    <row r="10" spans="1:22" s="11" customFormat="1" ht="15.75" customHeight="1">
      <c r="A10" s="8"/>
      <c r="C10" s="87"/>
      <c r="D10" s="409"/>
      <c r="E10" s="1404" t="s">
        <v>567</v>
      </c>
      <c r="F10" s="1405"/>
      <c r="G10" s="1429" t="str">
        <f>IF(G8="","",INDEX(DIFFERENTIATION_UNMERGE_AREA,MATCH(G8,DIFFERENTIATION_ID_DIFF,0)))</f>
        <v/>
      </c>
      <c r="H10" s="1430"/>
      <c r="I10" s="1429" t="str">
        <f>IF(I8="","",INDEX(DIFFERENTIATION_UNMERGE_AREA,MATCH(I8,DIFFERENTIATION_ID_DIFF,0)))</f>
        <v/>
      </c>
      <c r="J10" s="1430"/>
      <c r="K10" s="1232"/>
      <c r="U10" s="302"/>
      <c r="V10" s="11">
        <v>15</v>
      </c>
    </row>
    <row r="11" spans="1:22" s="11" customFormat="1" ht="15.75" customHeight="1">
      <c r="A11" s="8"/>
      <c r="C11" s="87"/>
      <c r="D11" s="409"/>
      <c r="E11" s="1404" t="s">
        <v>568</v>
      </c>
      <c r="F11" s="1405"/>
      <c r="G11" s="1429" t="str">
        <f>IF(G8="","",INDEX(DIFFERENTIATION_UNMERGE_SYSTEM,MATCH(G8,DIFFERENTIATION_ID_DIFF,0)))</f>
        <v/>
      </c>
      <c r="H11" s="1430"/>
      <c r="I11" s="1429" t="str">
        <f>IF(I8="","",INDEX(DIFFERENTIATION_UNMERGE_SYSTEM,MATCH(I8,DIFFERENTIATION_ID_DIFF,0)))</f>
        <v>без дифференциации</v>
      </c>
      <c r="J11" s="1430"/>
      <c r="K11" s="1232"/>
      <c r="U11" s="302"/>
      <c r="V11" s="11">
        <v>15</v>
      </c>
    </row>
    <row r="12" spans="1:22" s="11" customFormat="1" ht="15.75" customHeight="1">
      <c r="A12" s="8"/>
      <c r="C12" s="87"/>
      <c r="D12" s="1406" t="s">
        <v>304</v>
      </c>
      <c r="E12" s="1407"/>
      <c r="F12" s="1407"/>
      <c r="G12" s="512"/>
      <c r="H12" s="512"/>
      <c r="I12" s="512"/>
      <c r="J12" s="512"/>
      <c r="K12" s="1232"/>
      <c r="U12" s="302"/>
      <c r="V12" s="11">
        <v>15</v>
      </c>
    </row>
    <row r="13" spans="1:22" ht="35.700000000000003" customHeight="1">
      <c r="D13" s="41" t="s">
        <v>89</v>
      </c>
      <c r="E13" s="41" t="s">
        <v>306</v>
      </c>
      <c r="F13" s="41" t="s">
        <v>569</v>
      </c>
      <c r="G13" s="389" t="s">
        <v>307</v>
      </c>
      <c r="H13" s="41" t="s">
        <v>394</v>
      </c>
      <c r="I13" s="389" t="s">
        <v>307</v>
      </c>
      <c r="J13" s="41" t="s">
        <v>394</v>
      </c>
      <c r="K13" s="1280"/>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1158</v>
      </c>
      <c r="F17" s="41" t="s">
        <v>310</v>
      </c>
      <c r="G17" s="384"/>
      <c r="H17" s="384"/>
      <c r="I17" s="384"/>
      <c r="J17" s="384"/>
      <c r="K17" s="67" t="s">
        <v>1159</v>
      </c>
      <c r="V17" s="11">
        <v>0</v>
      </c>
    </row>
    <row r="18" spans="1:22" ht="48.3" customHeight="1">
      <c r="A18" s="11"/>
      <c r="C18" s="77"/>
      <c r="D18" s="41">
        <v>3</v>
      </c>
      <c r="E18" s="153" t="s">
        <v>817</v>
      </c>
      <c r="F18" s="41" t="s">
        <v>310</v>
      </c>
      <c r="G18" s="41" t="s">
        <v>310</v>
      </c>
      <c r="H18" s="340" t="s">
        <v>310</v>
      </c>
      <c r="I18" s="41" t="s">
        <v>310</v>
      </c>
      <c r="J18" s="340" t="s">
        <v>310</v>
      </c>
      <c r="K18" s="67" t="s">
        <v>1160</v>
      </c>
      <c r="V18" s="11">
        <v>46</v>
      </c>
    </row>
    <row r="19" spans="1:22" ht="35.700000000000003" customHeight="1">
      <c r="A19" s="11"/>
      <c r="C19" s="77"/>
      <c r="D19" s="43" t="s">
        <v>328</v>
      </c>
      <c r="E19" s="323" t="s">
        <v>819</v>
      </c>
      <c r="F19" s="41" t="s">
        <v>820</v>
      </c>
      <c r="G19" s="468"/>
      <c r="H19" s="37"/>
      <c r="I19" s="468"/>
      <c r="J19" s="228"/>
      <c r="K19" s="385"/>
      <c r="V19" s="11">
        <v>34</v>
      </c>
    </row>
    <row r="20" spans="1:22" ht="35.700000000000003" customHeight="1">
      <c r="A20" s="11"/>
      <c r="C20" s="77"/>
      <c r="D20" s="43" t="s">
        <v>336</v>
      </c>
      <c r="E20" s="323" t="s">
        <v>821</v>
      </c>
      <c r="F20" s="41" t="s">
        <v>822</v>
      </c>
      <c r="G20" s="468"/>
      <c r="H20" s="37"/>
      <c r="I20" s="468"/>
      <c r="J20" s="37"/>
      <c r="K20" s="385"/>
      <c r="V20" s="11">
        <v>34</v>
      </c>
    </row>
    <row r="21" spans="1:22" ht="48.3" customHeight="1">
      <c r="A21" s="11"/>
      <c r="C21" s="77"/>
      <c r="D21" s="43" t="s">
        <v>338</v>
      </c>
      <c r="E21" s="323" t="s">
        <v>823</v>
      </c>
      <c r="F21" s="41" t="s">
        <v>574</v>
      </c>
      <c r="G21" s="386"/>
      <c r="H21" s="37"/>
      <c r="I21" s="386"/>
      <c r="J21" s="37"/>
      <c r="K21" s="385"/>
      <c r="V21" s="11">
        <v>46</v>
      </c>
    </row>
    <row r="22" spans="1:22" ht="67.5" hidden="1" customHeight="1">
      <c r="A22" s="11"/>
      <c r="C22" s="77"/>
      <c r="D22" s="41">
        <v>5</v>
      </c>
      <c r="E22" s="153" t="s">
        <v>1161</v>
      </c>
      <c r="F22" s="41" t="s">
        <v>561</v>
      </c>
      <c r="G22" s="387"/>
      <c r="H22" s="388"/>
      <c r="I22" s="387"/>
      <c r="J22" s="388"/>
      <c r="K22" s="67" t="s">
        <v>1162</v>
      </c>
      <c r="V22" s="11">
        <v>0</v>
      </c>
    </row>
    <row r="23" spans="1:22" ht="33.75" hidden="1" customHeight="1">
      <c r="C23" s="77"/>
      <c r="D23" s="41">
        <v>6</v>
      </c>
      <c r="E23" s="153" t="s">
        <v>1163</v>
      </c>
      <c r="F23" s="41" t="s">
        <v>1164</v>
      </c>
      <c r="G23" s="387"/>
      <c r="H23" s="387"/>
      <c r="I23" s="387"/>
      <c r="J23" s="387"/>
      <c r="K23" s="67" t="s">
        <v>1165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663" customWidth="1"/>
    <col min="2" max="2" width="11" customWidth="1"/>
    <col min="4" max="4" width="26.625" customWidth="1"/>
    <col min="5" max="5" width="36.875" style="34" customWidth="1"/>
    <col min="6" max="6" width="23.625" style="34" customWidth="1"/>
    <col min="7" max="7" width="31.375" style="34" customWidth="1"/>
    <col min="8" max="8" width="40.875" style="34" customWidth="1"/>
    <col min="9" max="9" width="14.625" style="34" customWidth="1"/>
    <col min="10" max="10" width="26.875" style="34" customWidth="1"/>
    <col min="11" max="11" width="50" style="34" customWidth="1"/>
    <col min="12" max="12" width="52.375" style="34" customWidth="1"/>
    <col min="13" max="13" width="10.75" style="34" customWidth="1"/>
    <col min="14" max="14" width="55.125" style="34" customWidth="1"/>
    <col min="15" max="15" width="31.875" style="34" customWidth="1"/>
    <col min="16" max="16" width="23.875" style="34" customWidth="1"/>
    <col min="17" max="17" width="46.625" style="34" customWidth="1"/>
    <col min="18" max="18" width="24" style="34" customWidth="1"/>
    <col min="19" max="19" width="20.625" style="34" customWidth="1"/>
    <col min="20" max="20" width="22" style="34" customWidth="1"/>
    <col min="21" max="22" width="26.375" style="34" customWidth="1"/>
    <col min="23" max="23" width="8.25" style="34" hidden="1" customWidth="1"/>
    <col min="24" max="24" width="59.75" style="34" customWidth="1"/>
    <col min="25" max="25" width="49.125" style="34" customWidth="1"/>
    <col min="26" max="26" width="11.125" style="34" customWidth="1"/>
    <col min="27" max="30" width="29" style="34" customWidth="1"/>
    <col min="31" max="31" width="9.125" style="34"/>
    <col min="32" max="32" width="34.75" style="34" customWidth="1"/>
    <col min="33" max="33" width="9.125" style="34"/>
    <col min="34" max="35" width="34.375" style="34" customWidth="1"/>
    <col min="36" max="36" width="9.125" style="34"/>
    <col min="37" max="37" width="24.625" style="34" customWidth="1"/>
    <col min="38" max="38" width="9.125" style="34"/>
    <col min="39" max="39" width="26.125" style="34" customWidth="1"/>
    <col min="40" max="40" width="1.75" style="34" customWidth="1"/>
    <col min="41" max="41" width="9.125" style="34"/>
    <col min="42" max="43" width="47.875" style="34" customWidth="1"/>
    <col min="44" max="44" width="1.75" style="34" customWidth="1"/>
    <col min="45" max="45" width="21.375" style="34" customWidth="1"/>
    <col min="46" max="46" width="1.75" style="34" customWidth="1"/>
    <col min="47" max="47" width="31.25" style="34" customWidth="1"/>
    <col min="48" max="48" width="1.75" style="34" customWidth="1"/>
    <col min="49" max="50" width="9.125" style="34"/>
    <col min="51" max="51" width="3.75" style="34" customWidth="1"/>
    <col min="52" max="52" width="60.875" style="34" customWidth="1"/>
    <col min="53" max="53" width="49.25" style="34" customWidth="1"/>
    <col min="54" max="54" width="35.125" style="34" customWidth="1"/>
    <col min="55" max="55" width="9.125" style="34"/>
    <col min="56" max="56" width="1.75" style="34" customWidth="1"/>
    <col min="57" max="57" width="12.625" style="627" customWidth="1"/>
    <col min="58" max="58" width="14.25" style="627" customWidth="1"/>
    <col min="59" max="59" width="30.75" style="34" customWidth="1"/>
    <col min="60" max="60" width="40.75" style="188" customWidth="1"/>
    <col min="61" max="61" width="15" style="188" customWidth="1"/>
    <col min="62" max="62" width="40.75" style="188" customWidth="1"/>
    <col min="63" max="63" width="2.75" style="188" customWidth="1"/>
    <col min="64" max="64" width="44.75" style="188" customWidth="1"/>
    <col min="65" max="65" width="2.75" style="188" customWidth="1"/>
    <col min="66" max="66" width="40.75" style="188" customWidth="1"/>
    <col min="67" max="68" width="9.125" style="34"/>
    <col min="69" max="69" width="18.125" style="34" customWidth="1"/>
    <col min="70" max="70" width="57.875" style="34" customWidth="1"/>
    <col min="71" max="71" width="1.75" style="34" customWidth="1"/>
    <col min="72" max="72" width="22.625" style="34" customWidth="1"/>
    <col min="73" max="73" width="57.875" style="34" customWidth="1"/>
    <col min="74" max="74" width="1.75" style="34" customWidth="1"/>
    <col min="75" max="75" width="22.625" style="34" customWidth="1"/>
    <col min="76" max="76" width="57.875" style="34" customWidth="1"/>
    <col min="77" max="77" width="1.75" style="34" customWidth="1"/>
    <col min="78" max="78" width="22.625" style="34" customWidth="1"/>
    <col min="79" max="79" width="57.875" style="34" customWidth="1"/>
    <col min="80" max="81" width="9.125" style="34"/>
    <col min="82" max="82" width="49.6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810</v>
      </c>
      <c r="BI1" s="188"/>
      <c r="BJ1" s="631" t="s">
        <v>1206</v>
      </c>
      <c r="BK1" s="188"/>
      <c r="BL1" s="632" t="s">
        <v>909</v>
      </c>
      <c r="BM1" s="188"/>
      <c r="BN1" s="633" t="s">
        <v>1207</v>
      </c>
    </row>
    <row r="2" spans="1:79" ht="11.25" customHeight="1">
      <c r="A2" s="34" t="s">
        <v>1208</v>
      </c>
      <c r="B2" s="634">
        <v>2000</v>
      </c>
      <c r="C2" s="634">
        <v>2022</v>
      </c>
      <c r="D2" s="634" t="s">
        <v>67</v>
      </c>
      <c r="E2" s="635" t="s">
        <v>1209</v>
      </c>
      <c r="F2" s="635" t="s">
        <v>1210</v>
      </c>
      <c r="G2" s="635" t="s">
        <v>1211</v>
      </c>
      <c r="H2" s="635" t="s">
        <v>56</v>
      </c>
      <c r="I2" s="635" t="s">
        <v>110</v>
      </c>
      <c r="J2" s="635" t="s">
        <v>1212</v>
      </c>
      <c r="K2" s="175" t="s">
        <v>1213</v>
      </c>
      <c r="L2" s="175"/>
      <c r="M2" s="175">
        <v>1</v>
      </c>
      <c r="N2" s="671" t="s">
        <v>1214</v>
      </c>
      <c r="O2" s="635" t="s">
        <v>1215</v>
      </c>
      <c r="P2" s="636" t="s">
        <v>37</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111</v>
      </c>
      <c r="J3" s="635" t="s">
        <v>559</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1222</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1273</v>
      </c>
      <c r="H4" s="635" t="s">
        <v>1274</v>
      </c>
      <c r="I4" s="635" t="s">
        <v>91</v>
      </c>
      <c r="J4" s="635" t="s">
        <v>1275</v>
      </c>
      <c r="K4" s="175" t="s">
        <v>1276</v>
      </c>
      <c r="L4" s="175">
        <f>IFERROR(MATCH(K4,OFFER_METHOD,0),0)</f>
        <v>0</v>
      </c>
      <c r="M4" s="175">
        <v>3</v>
      </c>
      <c r="N4" s="671" t="s">
        <v>1277</v>
      </c>
      <c r="O4" s="635" t="s">
        <v>1278</v>
      </c>
      <c r="Q4" s="637" t="s">
        <v>1279</v>
      </c>
      <c r="R4" s="60" t="s">
        <v>1280</v>
      </c>
      <c r="S4" s="60" t="s">
        <v>1281</v>
      </c>
      <c r="T4" s="638" t="s">
        <v>1282</v>
      </c>
      <c r="U4" s="175" t="s">
        <v>1283</v>
      </c>
      <c r="V4" s="639">
        <v>3</v>
      </c>
      <c r="W4" s="640"/>
      <c r="X4" s="640" t="s">
        <v>1284</v>
      </c>
      <c r="Y4" s="634" t="s">
        <v>1222</v>
      </c>
      <c r="Z4" s="17"/>
      <c r="AC4" s="634" t="s">
        <v>1285</v>
      </c>
      <c r="AD4" s="642" t="s">
        <v>1285</v>
      </c>
      <c r="AF4" s="635" t="s">
        <v>1283</v>
      </c>
      <c r="AH4" s="635" t="s">
        <v>1286</v>
      </c>
      <c r="AK4" s="635" t="s">
        <v>1287</v>
      </c>
      <c r="AM4" s="635" t="s">
        <v>1288</v>
      </c>
      <c r="AP4" s="32" t="s">
        <v>1249</v>
      </c>
      <c r="AQ4" s="643" t="s">
        <v>1249</v>
      </c>
      <c r="AS4" s="634" t="s">
        <v>1289</v>
      </c>
      <c r="AU4" s="664" t="s">
        <v>1290</v>
      </c>
      <c r="AW4" s="664" t="s">
        <v>1291</v>
      </c>
      <c r="AX4" s="664" t="s">
        <v>1291</v>
      </c>
      <c r="AZ4" s="664" t="s">
        <v>1292</v>
      </c>
      <c r="BB4" s="664" t="s">
        <v>1293</v>
      </c>
      <c r="BC4" s="664" t="s">
        <v>1294</v>
      </c>
      <c r="BE4" s="664">
        <v>2002</v>
      </c>
      <c r="BF4" s="664" t="s">
        <v>1295</v>
      </c>
      <c r="BH4" s="629" t="s">
        <v>1296</v>
      </c>
      <c r="BJ4" s="629" t="s">
        <v>1296</v>
      </c>
      <c r="BL4" s="629" t="s">
        <v>1296</v>
      </c>
      <c r="BN4" s="629" t="s">
        <v>1296</v>
      </c>
      <c r="BQ4" s="807" t="s">
        <v>1297</v>
      </c>
      <c r="BR4" s="32" t="s">
        <v>1298</v>
      </c>
      <c r="BS4" s="32"/>
      <c r="BT4" s="807" t="s">
        <v>1299</v>
      </c>
      <c r="BU4" s="32" t="s">
        <v>1300</v>
      </c>
      <c r="BV4" s="188"/>
      <c r="BW4" s="807" t="s">
        <v>1301</v>
      </c>
      <c r="BX4" s="32" t="s">
        <v>1302</v>
      </c>
      <c r="BZ4" s="807" t="s">
        <v>1303</v>
      </c>
      <c r="CA4" s="32" t="s">
        <v>1304</v>
      </c>
    </row>
    <row r="5" spans="1:79" ht="11.25" customHeight="1">
      <c r="A5" s="34" t="s">
        <v>1305</v>
      </c>
      <c r="B5" s="634">
        <v>2003</v>
      </c>
      <c r="C5" s="634">
        <v>2025</v>
      </c>
      <c r="E5" s="635" t="s">
        <v>1306</v>
      </c>
      <c r="F5" s="635" t="s">
        <v>1307</v>
      </c>
      <c r="H5" s="635" t="s">
        <v>1308</v>
      </c>
      <c r="I5" s="635" t="s">
        <v>92</v>
      </c>
      <c r="K5" s="175" t="s">
        <v>1309</v>
      </c>
      <c r="L5" s="175">
        <f>IFERROR(MATCH(K5,OFFER_METHOD,0),0)</f>
        <v>0</v>
      </c>
      <c r="M5" s="175">
        <v>4</v>
      </c>
      <c r="N5" s="645" t="s">
        <v>1310</v>
      </c>
      <c r="O5" s="635" t="s">
        <v>1311</v>
      </c>
      <c r="Q5" s="637" t="s">
        <v>1312</v>
      </c>
      <c r="R5" s="60" t="s">
        <v>524</v>
      </c>
      <c r="T5" s="635" t="s">
        <v>1313</v>
      </c>
      <c r="U5" s="175" t="s">
        <v>1314</v>
      </c>
      <c r="V5" s="639">
        <v>4</v>
      </c>
      <c r="W5" s="640"/>
      <c r="X5" s="640" t="s">
        <v>167</v>
      </c>
      <c r="Y5" s="634" t="s">
        <v>1315</v>
      </c>
      <c r="Z5" s="17">
        <v>1</v>
      </c>
      <c r="AF5" s="635" t="s">
        <v>1316</v>
      </c>
      <c r="AH5" s="635" t="s">
        <v>1317</v>
      </c>
      <c r="AK5" s="635" t="s">
        <v>1318</v>
      </c>
      <c r="AM5" s="635" t="s">
        <v>1319</v>
      </c>
      <c r="AP5" s="32" t="s">
        <v>167</v>
      </c>
      <c r="AQ5" s="643" t="s">
        <v>167</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228</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112</v>
      </c>
      <c r="J6" s="628" t="s">
        <v>1333</v>
      </c>
      <c r="L6" s="175">
        <f>SUM(kind_of_control_method_filter)</f>
        <v>0</v>
      </c>
      <c r="N6" s="645" t="s">
        <v>1334</v>
      </c>
      <c r="O6" s="635" t="s">
        <v>1335</v>
      </c>
      <c r="R6" s="60" t="s">
        <v>1216</v>
      </c>
      <c r="T6" s="635" t="s">
        <v>1336</v>
      </c>
      <c r="U6" s="175" t="s">
        <v>1316</v>
      </c>
      <c r="V6" s="639">
        <v>5</v>
      </c>
      <c r="W6" s="640"/>
      <c r="X6" s="634" t="s">
        <v>173</v>
      </c>
      <c r="Y6" s="634" t="s">
        <v>1337</v>
      </c>
      <c r="Z6" s="17"/>
      <c r="AA6" s="197"/>
      <c r="AH6" s="635" t="s">
        <v>1338</v>
      </c>
      <c r="AK6" s="635" t="s">
        <v>1339</v>
      </c>
      <c r="AM6" s="635" t="s">
        <v>1340</v>
      </c>
      <c r="AP6" s="32" t="s">
        <v>173</v>
      </c>
      <c r="AQ6" s="643" t="s">
        <v>173</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233</v>
      </c>
      <c r="BV6" s="188"/>
      <c r="BW6" s="664">
        <v>4213768</v>
      </c>
      <c r="BX6" s="629" t="s">
        <v>253</v>
      </c>
      <c r="BZ6" s="664">
        <v>64237510</v>
      </c>
      <c r="CA6" s="629" t="s">
        <v>1348</v>
      </c>
    </row>
    <row r="7" spans="1:79" ht="11.25" customHeight="1">
      <c r="A7" s="34" t="s">
        <v>1349</v>
      </c>
      <c r="B7" s="634">
        <v>2005</v>
      </c>
      <c r="E7" s="635" t="s">
        <v>1350</v>
      </c>
      <c r="F7" s="35"/>
      <c r="H7" s="635" t="s">
        <v>1351</v>
      </c>
      <c r="I7" s="635" t="s">
        <v>93</v>
      </c>
      <c r="J7" s="635" t="s">
        <v>1352</v>
      </c>
      <c r="N7" s="438" t="s">
        <v>1353</v>
      </c>
      <c r="O7" s="635" t="s">
        <v>1354</v>
      </c>
      <c r="U7" s="175" t="s">
        <v>19</v>
      </c>
      <c r="V7" s="214" t="s">
        <v>93</v>
      </c>
      <c r="W7" s="640"/>
      <c r="X7" s="634" t="s">
        <v>179</v>
      </c>
      <c r="Y7" s="634" t="s">
        <v>1315</v>
      </c>
      <c r="Z7" s="17"/>
      <c r="AA7" s="197"/>
      <c r="AH7" s="635" t="s">
        <v>1355</v>
      </c>
      <c r="AK7" s="635" t="s">
        <v>1356</v>
      </c>
      <c r="AM7" s="635" t="s">
        <v>1357</v>
      </c>
      <c r="AP7" s="32" t="s">
        <v>179</v>
      </c>
      <c r="AQ7" s="643" t="s">
        <v>179</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238</v>
      </c>
      <c r="BV7" s="188"/>
      <c r="BW7" s="664">
        <v>4213769</v>
      </c>
      <c r="BX7" s="629" t="s">
        <v>1365</v>
      </c>
      <c r="BZ7" s="664">
        <v>64237511</v>
      </c>
      <c r="CA7" s="629" t="s">
        <v>268</v>
      </c>
    </row>
    <row r="8" spans="1:79" ht="11.25" customHeight="1">
      <c r="A8" s="34" t="s">
        <v>1366</v>
      </c>
      <c r="B8" s="634">
        <v>2006</v>
      </c>
      <c r="E8" s="635" t="s">
        <v>1367</v>
      </c>
      <c r="F8" s="35"/>
      <c r="H8" s="635" t="s">
        <v>1368</v>
      </c>
      <c r="I8" s="635" t="s">
        <v>94</v>
      </c>
      <c r="J8" s="635" t="s">
        <v>1369</v>
      </c>
      <c r="N8" s="672" t="s">
        <v>1370</v>
      </c>
      <c r="O8" s="635" t="s">
        <v>1371</v>
      </c>
      <c r="V8" s="214" t="s">
        <v>94</v>
      </c>
      <c r="W8" s="640"/>
      <c r="X8" s="634" t="s">
        <v>185</v>
      </c>
      <c r="Y8" s="634" t="s">
        <v>1315</v>
      </c>
      <c r="Z8" s="17"/>
      <c r="AA8" s="197"/>
      <c r="AK8" s="635" t="s">
        <v>1372</v>
      </c>
      <c r="AP8" s="32" t="s">
        <v>185</v>
      </c>
      <c r="AQ8" s="643" t="s">
        <v>185</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167</v>
      </c>
      <c r="BS8" s="740"/>
      <c r="BT8" s="664">
        <v>64236874</v>
      </c>
      <c r="BU8" s="745" t="s">
        <v>1381</v>
      </c>
      <c r="BV8" s="188"/>
      <c r="BW8" s="664">
        <v>4213770</v>
      </c>
      <c r="BX8" s="745" t="s">
        <v>1382</v>
      </c>
      <c r="BZ8" s="664">
        <v>64237512</v>
      </c>
      <c r="CA8" s="629" t="s">
        <v>263</v>
      </c>
    </row>
    <row r="9" spans="1:79" ht="11.25" customHeight="1">
      <c r="A9" s="34" t="s">
        <v>1383</v>
      </c>
      <c r="B9" s="634">
        <v>2007</v>
      </c>
      <c r="E9" s="635" t="s">
        <v>1384</v>
      </c>
      <c r="F9" s="35"/>
      <c r="G9" s="628" t="s">
        <v>1385</v>
      </c>
      <c r="H9" s="628" t="s">
        <v>1386</v>
      </c>
      <c r="I9" s="635" t="s">
        <v>113</v>
      </c>
      <c r="O9" s="635" t="s">
        <v>1387</v>
      </c>
      <c r="V9" s="214" t="s">
        <v>113</v>
      </c>
      <c r="W9" s="640"/>
      <c r="X9" s="634" t="s">
        <v>191</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173</v>
      </c>
      <c r="BS9" s="740"/>
      <c r="BT9" s="664">
        <v>64236875</v>
      </c>
      <c r="BU9" s="629" t="s">
        <v>243</v>
      </c>
      <c r="BV9" s="188"/>
      <c r="BW9"/>
      <c r="BX9"/>
    </row>
    <row r="10" spans="1:79" ht="11.25" customHeight="1">
      <c r="A10" s="34" t="s">
        <v>1397</v>
      </c>
      <c r="B10" s="634">
        <v>2008</v>
      </c>
      <c r="E10" s="635" t="s">
        <v>1398</v>
      </c>
      <c r="F10" s="35"/>
      <c r="G10" s="635" t="s">
        <v>1399</v>
      </c>
      <c r="H10" s="635" t="s">
        <v>1400</v>
      </c>
      <c r="I10" s="635" t="s">
        <v>149</v>
      </c>
      <c r="J10" s="628" t="s">
        <v>1401</v>
      </c>
      <c r="K10" s="628" t="s">
        <v>1402</v>
      </c>
      <c r="O10" s="635" t="s">
        <v>1403</v>
      </c>
      <c r="V10" s="215" t="s">
        <v>149</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179</v>
      </c>
      <c r="BS10" s="740"/>
      <c r="BT10" s="664">
        <v>64236876</v>
      </c>
      <c r="BU10" s="629" t="s">
        <v>223</v>
      </c>
      <c r="BV10" s="188"/>
      <c r="BW10"/>
      <c r="BX10"/>
    </row>
    <row r="11" spans="1:79" ht="11.25" customHeight="1">
      <c r="A11" s="34" t="s">
        <v>1413</v>
      </c>
      <c r="B11" s="634">
        <v>2009</v>
      </c>
      <c r="E11" s="635" t="s">
        <v>1414</v>
      </c>
      <c r="F11" s="35"/>
      <c r="G11" s="635" t="s">
        <v>1415</v>
      </c>
      <c r="H11" s="635" t="s">
        <v>1416</v>
      </c>
      <c r="I11" s="635" t="s">
        <v>150</v>
      </c>
      <c r="J11" s="635" t="s">
        <v>1417</v>
      </c>
      <c r="K11" s="648" t="s">
        <v>1418</v>
      </c>
      <c r="O11" s="635" t="s">
        <v>1419</v>
      </c>
      <c r="V11" s="214" t="s">
        <v>150</v>
      </c>
      <c r="W11" s="161"/>
      <c r="X11" s="640" t="s">
        <v>1389</v>
      </c>
      <c r="Y11" s="634" t="s">
        <v>1420</v>
      </c>
      <c r="Z11" s="17"/>
      <c r="AP11" s="32" t="s">
        <v>191</v>
      </c>
      <c r="AQ11" s="644" t="s">
        <v>191</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185</v>
      </c>
      <c r="BS11" s="740"/>
      <c r="BW11"/>
      <c r="BX11"/>
    </row>
    <row r="12" spans="1:79" ht="11.25" customHeight="1">
      <c r="A12" s="34" t="s">
        <v>1427</v>
      </c>
      <c r="B12" s="634">
        <v>2010</v>
      </c>
      <c r="E12" s="635" t="s">
        <v>1428</v>
      </c>
      <c r="F12" s="35"/>
      <c r="G12" s="635" t="s">
        <v>1416</v>
      </c>
      <c r="I12" s="635" t="s">
        <v>151</v>
      </c>
      <c r="J12" s="635" t="s">
        <v>1429</v>
      </c>
      <c r="K12" s="648" t="s">
        <v>1430</v>
      </c>
      <c r="O12" s="635" t="s">
        <v>1216</v>
      </c>
      <c r="V12" s="214" t="s">
        <v>151</v>
      </c>
      <c r="W12" s="644"/>
      <c r="X12" s="640" t="s">
        <v>1431</v>
      </c>
      <c r="Y12" s="634" t="s">
        <v>1222</v>
      </c>
      <c r="AP12" s="32"/>
      <c r="AW12" s="664" t="s">
        <v>150</v>
      </c>
      <c r="AX12" s="664" t="s">
        <v>150</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152</v>
      </c>
      <c r="K13" s="648" t="s">
        <v>1388</v>
      </c>
      <c r="V13" s="214" t="s">
        <v>152</v>
      </c>
      <c r="W13" s="644"/>
      <c r="X13" s="644"/>
      <c r="Y13" s="644"/>
      <c r="AW13" s="664" t="s">
        <v>151</v>
      </c>
      <c r="AX13" s="664" t="s">
        <v>151</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153</v>
      </c>
      <c r="J14" s="628" t="s">
        <v>1446</v>
      </c>
      <c r="N14" s="628" t="s">
        <v>1447</v>
      </c>
      <c r="V14" s="639">
        <v>13</v>
      </c>
      <c r="W14" s="640"/>
      <c r="X14" s="640" t="s">
        <v>1256</v>
      </c>
      <c r="Y14" s="634" t="s">
        <v>1222</v>
      </c>
      <c r="AW14" s="664" t="s">
        <v>152</v>
      </c>
      <c r="AX14" s="664" t="s">
        <v>152</v>
      </c>
      <c r="AZ14" s="628" t="s">
        <v>1448</v>
      </c>
      <c r="BB14" s="664" t="s">
        <v>1449</v>
      </c>
      <c r="BC14" s="664" t="s">
        <v>1441</v>
      </c>
      <c r="BE14" s="664">
        <v>2012</v>
      </c>
      <c r="BH14" s="629" t="s">
        <v>1364</v>
      </c>
      <c r="BJ14" s="708" t="s">
        <v>1450</v>
      </c>
      <c r="BL14" s="708" t="s">
        <v>1450</v>
      </c>
      <c r="BN14" s="629" t="s">
        <v>1451</v>
      </c>
      <c r="BQ14" s="664">
        <v>4213782</v>
      </c>
      <c r="BR14" s="629" t="s">
        <v>191</v>
      </c>
      <c r="BS14" s="740"/>
      <c r="BT14" s="188"/>
      <c r="BU14" s="188"/>
      <c r="BV14" s="188"/>
      <c r="BW14" s="188"/>
      <c r="BX14"/>
    </row>
    <row r="15" spans="1:79" ht="19.5" customHeight="1">
      <c r="A15" s="34" t="s">
        <v>1452</v>
      </c>
      <c r="B15" s="634">
        <v>2013</v>
      </c>
      <c r="E15" s="908" t="s">
        <v>1453</v>
      </c>
      <c r="G15" s="628" t="s">
        <v>1454</v>
      </c>
      <c r="H15" s="628" t="s">
        <v>1455</v>
      </c>
      <c r="I15" s="175" t="s">
        <v>154</v>
      </c>
      <c r="J15" s="644" t="s">
        <v>586</v>
      </c>
      <c r="N15" s="670" t="s">
        <v>1456</v>
      </c>
      <c r="X15" s="32"/>
      <c r="AW15" s="664" t="s">
        <v>153</v>
      </c>
      <c r="AX15" s="664" t="s">
        <v>153</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559</v>
      </c>
      <c r="N16" s="670" t="s">
        <v>1465</v>
      </c>
      <c r="AW16" s="664" t="s">
        <v>154</v>
      </c>
      <c r="AX16" s="664" t="s">
        <v>154</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1267</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1297</v>
      </c>
      <c r="BR18" s="32" t="s">
        <v>1298</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166</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1256</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297</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522</v>
      </c>
      <c r="AX27" s="664" t="s">
        <v>1559</v>
      </c>
      <c r="BB27" s="664" t="s">
        <v>1560</v>
      </c>
      <c r="BC27" s="664" t="s">
        <v>1543</v>
      </c>
      <c r="BE27" s="664">
        <v>2025</v>
      </c>
      <c r="BH27" s="188" t="s">
        <v>28</v>
      </c>
      <c r="BJ27" s="629" t="s">
        <v>1444</v>
      </c>
      <c r="BL27" s="629" t="s">
        <v>1444</v>
      </c>
      <c r="BN27" s="188" t="s">
        <v>28</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28</v>
      </c>
      <c r="BJ28" s="629" t="s">
        <v>1451</v>
      </c>
      <c r="BL28" s="629" t="s">
        <v>1451</v>
      </c>
      <c r="BN28" s="188" t="s">
        <v>28</v>
      </c>
      <c r="BQ28" s="664">
        <v>4190073</v>
      </c>
      <c r="BR28" s="629" t="s">
        <v>1568</v>
      </c>
      <c r="BS28" s="740"/>
      <c r="BV28" s="188"/>
      <c r="BW28" s="188"/>
    </row>
    <row r="29" spans="1:82" ht="11.25" customHeight="1">
      <c r="A29" s="34" t="s">
        <v>1569</v>
      </c>
      <c r="D29" s="650" t="s">
        <v>1570</v>
      </c>
      <c r="E29" s="651" t="str">
        <f>IF(TEMPLATE_GROUP="","",INDEX(StartDateList,MATCH(TEMPLATE_GROUP,CodeTemplateList,0),1))</f>
        <v>01.01.2026</v>
      </c>
      <c r="F29" s="651" t="str">
        <f>IF(TEMPLATE_GROUP="","",INDEX(EndDateList,MATCH(TEMPLATE_GROUP,CodeTemplateList,0),1))</f>
        <v>31.12.2026</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1245</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01.01.2026</v>
      </c>
      <c r="F32" s="651" t="str">
        <f>IF(TEMPLATE_GROUP="","",INDEX(EndDateList,MATCH(TEMPLATE_GROUP,CodeTemplateList,0),1))</f>
        <v>31.12.2026</v>
      </c>
      <c r="H32" s="656" t="s">
        <v>1582</v>
      </c>
      <c r="O32" s="34" t="s">
        <v>1215</v>
      </c>
      <c r="AX32" s="664" t="s">
        <v>1583</v>
      </c>
      <c r="AZ32" s="664" t="s">
        <v>524</v>
      </c>
      <c r="BE32" s="664">
        <v>2030</v>
      </c>
      <c r="BJ32" s="629" t="s">
        <v>1468</v>
      </c>
      <c r="BL32" s="629" t="s">
        <v>1468</v>
      </c>
    </row>
    <row r="33" spans="1:66" ht="11.25" customHeight="1">
      <c r="A33" s="34" t="s">
        <v>1584</v>
      </c>
      <c r="O33" s="34" t="s">
        <v>1242</v>
      </c>
      <c r="AX33" s="664" t="s">
        <v>1585</v>
      </c>
      <c r="AZ33" s="664" t="s">
        <v>1216</v>
      </c>
      <c r="BE33" s="664">
        <v>2031</v>
      </c>
      <c r="BJ33" s="629" t="s">
        <v>1475</v>
      </c>
      <c r="BL33" s="629" t="s">
        <v>1475</v>
      </c>
    </row>
    <row r="34" spans="1:66" ht="11.25" customHeight="1">
      <c r="A34" s="34" t="s">
        <v>1586</v>
      </c>
      <c r="O34" s="34" t="s">
        <v>1278</v>
      </c>
      <c r="AX34" s="664" t="s">
        <v>1587</v>
      </c>
      <c r="BE34" s="664">
        <v>2032</v>
      </c>
      <c r="BJ34" s="629" t="s">
        <v>1486</v>
      </c>
      <c r="BL34" s="629" t="s">
        <v>1486</v>
      </c>
    </row>
    <row r="35" spans="1:66" ht="11.25" customHeight="1">
      <c r="A35" s="34" t="s">
        <v>1588</v>
      </c>
      <c r="O35" s="34" t="s">
        <v>1311</v>
      </c>
      <c r="AX35" s="664" t="s">
        <v>1589</v>
      </c>
      <c r="AZ35" s="628" t="s">
        <v>1590</v>
      </c>
      <c r="BE35" s="664">
        <v>2033</v>
      </c>
      <c r="BL35" s="629" t="s">
        <v>1591</v>
      </c>
    </row>
    <row r="36" spans="1:66" ht="11.25" customHeight="1">
      <c r="A36" s="1010" t="s">
        <v>1592</v>
      </c>
      <c r="D36" s="657" t="s">
        <v>1593</v>
      </c>
      <c r="E36" s="658" t="s">
        <v>909</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810</v>
      </c>
      <c r="G37" s="233" t="s">
        <v>1598</v>
      </c>
      <c r="O37" s="34" t="s">
        <v>1354</v>
      </c>
      <c r="AX37" s="664" t="s">
        <v>1599</v>
      </c>
      <c r="AZ37" s="664" t="s">
        <v>1244</v>
      </c>
      <c r="BE37" s="664">
        <v>2035</v>
      </c>
    </row>
    <row r="38" spans="1:66" ht="11.25" customHeight="1">
      <c r="A38" s="34" t="s">
        <v>1600</v>
      </c>
      <c r="E38" s="233" t="s">
        <v>1601</v>
      </c>
      <c r="F38" s="660" t="s">
        <v>856</v>
      </c>
      <c r="G38" s="233" t="s">
        <v>1602</v>
      </c>
      <c r="O38" s="34" t="s">
        <v>1371</v>
      </c>
      <c r="AX38" s="664" t="s">
        <v>1603</v>
      </c>
      <c r="AZ38" s="664" t="s">
        <v>1279</v>
      </c>
      <c r="BE38" s="664">
        <v>2036</v>
      </c>
      <c r="BH38" s="628" t="s">
        <v>1604</v>
      </c>
      <c r="BJ38" s="628" t="s">
        <v>1605</v>
      </c>
      <c r="BL38" s="628" t="s">
        <v>1606</v>
      </c>
      <c r="BN38" s="628" t="s">
        <v>1607</v>
      </c>
    </row>
    <row r="39" spans="1:66" ht="11.25" customHeight="1">
      <c r="A39" s="34" t="s">
        <v>1608</v>
      </c>
      <c r="E39" s="233" t="s">
        <v>1609</v>
      </c>
      <c r="F39" s="660" t="s">
        <v>909</v>
      </c>
      <c r="G39" s="233" t="s">
        <v>1610</v>
      </c>
      <c r="O39" s="34" t="s">
        <v>1387</v>
      </c>
      <c r="AX39" s="664" t="s">
        <v>1611</v>
      </c>
      <c r="AZ39" s="664" t="s">
        <v>1312</v>
      </c>
      <c r="BE39" s="664">
        <v>2037</v>
      </c>
      <c r="BH39" s="629" t="s">
        <v>1612</v>
      </c>
      <c r="BJ39" s="708" t="s">
        <v>1612</v>
      </c>
      <c r="BL39" s="708" t="s">
        <v>1612</v>
      </c>
      <c r="BN39" s="629" t="s">
        <v>1613</v>
      </c>
    </row>
    <row r="40" spans="1:66" ht="11.25" customHeight="1">
      <c r="A40" s="34" t="s">
        <v>1614</v>
      </c>
      <c r="E40" s="233" t="s">
        <v>1615</v>
      </c>
      <c r="F40" s="660" t="s">
        <v>896</v>
      </c>
      <c r="G40" s="233" t="s">
        <v>1616</v>
      </c>
      <c r="O40" s="34" t="s">
        <v>1403</v>
      </c>
      <c r="AX40" s="664" t="s">
        <v>1617</v>
      </c>
      <c r="BE40" s="664">
        <v>2038</v>
      </c>
      <c r="BH40" s="629" t="s">
        <v>1618</v>
      </c>
      <c r="BJ40" s="708" t="s">
        <v>1029</v>
      </c>
      <c r="BL40" s="708" t="s">
        <v>1029</v>
      </c>
      <c r="BN40" s="629" t="s">
        <v>1063</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1025</v>
      </c>
      <c r="BL41" s="708" t="s">
        <v>1025</v>
      </c>
      <c r="BN41" s="629" t="s">
        <v>1050</v>
      </c>
    </row>
    <row r="42" spans="1:66" ht="11.25" customHeight="1">
      <c r="A42" s="34" t="s">
        <v>1625</v>
      </c>
      <c r="AX42" s="664" t="s">
        <v>1626</v>
      </c>
      <c r="AZ42" s="664" t="s">
        <v>1215</v>
      </c>
      <c r="BE42" s="664">
        <v>2040</v>
      </c>
      <c r="BH42" s="629" t="s">
        <v>1047</v>
      </c>
      <c r="BJ42" s="708" t="s">
        <v>1027</v>
      </c>
      <c r="BL42" s="708" t="s">
        <v>1027</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2025</v>
      </c>
      <c r="I44" s="460" t="s">
        <v>1633</v>
      </c>
      <c r="J44" s="644" t="s">
        <v>1634</v>
      </c>
      <c r="K44" s="644" t="s">
        <v>1635</v>
      </c>
      <c r="AX44" s="664" t="s">
        <v>1636</v>
      </c>
      <c r="AZ44" s="664" t="s">
        <v>1278</v>
      </c>
      <c r="BE44" s="664">
        <v>2042</v>
      </c>
      <c r="BH44" s="629" t="s">
        <v>1637</v>
      </c>
      <c r="BJ44" s="708" t="s">
        <v>1047</v>
      </c>
      <c r="BL44" s="708" t="s">
        <v>1047</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Показатели, подлежащие раскрытию в сфере водоотведения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1311</v>
      </c>
      <c r="BE45" s="664">
        <v>2043</v>
      </c>
      <c r="BH45" s="629" t="s">
        <v>1646</v>
      </c>
      <c r="BJ45" s="708" t="s">
        <v>1041</v>
      </c>
      <c r="BL45" s="708" t="s">
        <v>1041</v>
      </c>
      <c r="BN45" s="629" t="s">
        <v>1647</v>
      </c>
    </row>
    <row r="46" spans="1:66" ht="11.25" customHeight="1">
      <c r="A46" s="34" t="s">
        <v>1648</v>
      </c>
      <c r="E46" s="233" t="s">
        <v>26</v>
      </c>
      <c r="F46" s="659" t="s">
        <v>1649</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1050</v>
      </c>
      <c r="BJ46" s="708" t="s">
        <v>1031</v>
      </c>
      <c r="BL46" s="708" t="s">
        <v>1031</v>
      </c>
      <c r="BN46" s="629" t="s">
        <v>1651</v>
      </c>
    </row>
    <row r="47" spans="1:66" ht="11.25" customHeight="1">
      <c r="A47" s="34" t="s">
        <v>1652</v>
      </c>
      <c r="E47" s="233" t="s">
        <v>33</v>
      </c>
      <c r="F47" s="660" t="s">
        <v>1653</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1654</v>
      </c>
      <c r="AZ47" s="664" t="s">
        <v>1354</v>
      </c>
      <c r="BE47" s="664">
        <v>2045</v>
      </c>
      <c r="BH47" s="629" t="s">
        <v>1627</v>
      </c>
      <c r="BJ47" s="708" t="s">
        <v>1033</v>
      </c>
      <c r="BL47" s="708" t="s">
        <v>1033</v>
      </c>
      <c r="BN47" s="629" t="s">
        <v>1655</v>
      </c>
    </row>
    <row r="48" spans="1:66" ht="11.25" customHeight="1">
      <c r="A48" s="34" t="s">
        <v>1656</v>
      </c>
      <c r="E48" s="233" t="s">
        <v>1657</v>
      </c>
      <c r="F48" s="660" t="s">
        <v>1658</v>
      </c>
      <c r="G48" s="661" t="str">
        <f ca="1">IFERROR(IF(f_year="","01.01."&amp;CURRENT_YEAR,"01.01."&amp;f_year),"01.01."&amp;CURRENT_YEAR)</f>
        <v>01.01.2025</v>
      </c>
      <c r="H48" s="661" t="str">
        <f ca="1">IFERROR(IF(f_year="","31.12."&amp;CURRENT_YEAR,"31.12."&amp;f_year),"31.12."&amp;CURRENT_YEAR)</f>
        <v>31.12.2025</v>
      </c>
      <c r="I48" s="951" t="b">
        <f>IF(f_year="",TRUE,FALSE)</f>
        <v>1</v>
      </c>
      <c r="J48" s="954" t="s">
        <v>1659</v>
      </c>
      <c r="K48" s="955"/>
      <c r="AX48" s="664" t="s">
        <v>1660</v>
      </c>
      <c r="AZ48" s="664" t="s">
        <v>1371</v>
      </c>
      <c r="BE48" s="664">
        <v>2046</v>
      </c>
      <c r="BH48" s="629" t="s">
        <v>1631</v>
      </c>
      <c r="BJ48" s="708" t="s">
        <v>1035</v>
      </c>
      <c r="BL48" s="708" t="s">
        <v>1035</v>
      </c>
      <c r="BN48" s="629" t="s">
        <v>1661</v>
      </c>
    </row>
    <row r="49" spans="1:64" ht="11.25" customHeight="1">
      <c r="A49" s="34" t="s">
        <v>1662</v>
      </c>
      <c r="E49" s="233" t="s">
        <v>1663</v>
      </c>
      <c r="F49" s="660" t="s">
        <v>1664</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1665</v>
      </c>
      <c r="AZ49" s="664" t="s">
        <v>1387</v>
      </c>
      <c r="BE49" s="664">
        <v>2047</v>
      </c>
      <c r="BH49" s="629" t="s">
        <v>1051</v>
      </c>
      <c r="BJ49" s="708" t="s">
        <v>1037</v>
      </c>
      <c r="BL49" s="708" t="s">
        <v>1037</v>
      </c>
    </row>
    <row r="50" spans="1:64" ht="11.25" customHeight="1">
      <c r="A50" s="34" t="s">
        <v>1666</v>
      </c>
      <c r="E50" s="233" t="s">
        <v>1667</v>
      </c>
      <c r="F50" s="660" t="s">
        <v>1021</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1668</v>
      </c>
      <c r="AZ50" s="664" t="s">
        <v>1403</v>
      </c>
      <c r="BE50" s="664">
        <v>2048</v>
      </c>
      <c r="BH50" s="629" t="s">
        <v>1638</v>
      </c>
      <c r="BJ50" s="708" t="s">
        <v>1039</v>
      </c>
      <c r="BL50" s="708" t="s">
        <v>1039</v>
      </c>
    </row>
    <row r="51" spans="1:64" ht="11.25" customHeight="1">
      <c r="A51" s="34" t="s">
        <v>1669</v>
      </c>
      <c r="E51" s="233" t="s">
        <v>1670</v>
      </c>
      <c r="F51" s="660" t="s">
        <v>1671</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1672</v>
      </c>
      <c r="AZ51" s="664" t="s">
        <v>1419</v>
      </c>
      <c r="BE51" s="664">
        <v>2049</v>
      </c>
      <c r="BH51" s="629" t="s">
        <v>1647</v>
      </c>
      <c r="BJ51" s="708" t="s">
        <v>1673</v>
      </c>
      <c r="BL51" s="708" t="s">
        <v>1673</v>
      </c>
    </row>
    <row r="52" spans="1:64" ht="11.25" customHeight="1">
      <c r="A52" s="34" t="s">
        <v>1674</v>
      </c>
      <c r="E52" s="233" t="s">
        <v>1675</v>
      </c>
      <c r="F52" s="660" t="s">
        <v>1641</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1050</v>
      </c>
      <c r="BL52" s="708" t="s">
        <v>1050</v>
      </c>
    </row>
    <row r="53" spans="1:64" ht="11.25" customHeight="1">
      <c r="A53" s="34" t="s">
        <v>1677</v>
      </c>
      <c r="E53" s="233" t="s">
        <v>1678</v>
      </c>
      <c r="F53" s="660" t="s">
        <v>1678</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1679</v>
      </c>
      <c r="K53" s="955"/>
      <c r="AX53" s="664" t="s">
        <v>1680</v>
      </c>
      <c r="BE53" s="664">
        <v>2051</v>
      </c>
      <c r="BH53" s="629" t="s">
        <v>1655</v>
      </c>
      <c r="BJ53" s="708" t="s">
        <v>1627</v>
      </c>
      <c r="BL53" s="708" t="s">
        <v>1627</v>
      </c>
    </row>
    <row r="54" spans="1:64" ht="11.25" customHeight="1">
      <c r="A54" s="34" t="s">
        <v>1681</v>
      </c>
      <c r="AX54" s="664" t="s">
        <v>1682</v>
      </c>
      <c r="AZ54" s="628" t="s">
        <v>1683</v>
      </c>
      <c r="BE54" s="664">
        <v>2052</v>
      </c>
      <c r="BH54" s="629" t="s">
        <v>1661</v>
      </c>
      <c r="BJ54" s="708" t="s">
        <v>1631</v>
      </c>
      <c r="BL54" s="708" t="s">
        <v>1631</v>
      </c>
    </row>
    <row r="55" spans="1:64" ht="11.25" customHeight="1">
      <c r="A55" s="34" t="s">
        <v>1684</v>
      </c>
      <c r="AX55" s="664" t="s">
        <v>1685</v>
      </c>
      <c r="AZ55" s="664" t="s">
        <v>1218</v>
      </c>
      <c r="BE55" s="664">
        <v>2053</v>
      </c>
      <c r="BH55" s="188" t="s">
        <v>28</v>
      </c>
      <c r="BJ55" s="708" t="s">
        <v>1051</v>
      </c>
      <c r="BL55" s="708" t="s">
        <v>1051</v>
      </c>
    </row>
    <row r="56" spans="1:64" ht="11.25" customHeight="1">
      <c r="A56" s="34" t="s">
        <v>1686</v>
      </c>
      <c r="D56" s="662" t="s">
        <v>1687</v>
      </c>
      <c r="E56" s="644" t="s">
        <v>112</v>
      </c>
      <c r="F56" s="34" t="s">
        <v>1688</v>
      </c>
      <c r="AX56" s="664" t="s">
        <v>1689</v>
      </c>
      <c r="AZ56" s="664" t="s">
        <v>1246</v>
      </c>
      <c r="BE56" s="664">
        <v>2054</v>
      </c>
      <c r="BH56" s="188" t="s">
        <v>28</v>
      </c>
      <c r="BJ56" s="708" t="s">
        <v>1638</v>
      </c>
      <c r="BL56" s="708" t="s">
        <v>1638</v>
      </c>
    </row>
    <row r="57" spans="1:64" ht="11.25" customHeight="1">
      <c r="A57" s="34" t="s">
        <v>1690</v>
      </c>
      <c r="D57" s="662" t="s">
        <v>1691</v>
      </c>
      <c r="E57" s="644" t="s">
        <v>112</v>
      </c>
      <c r="F57" s="34" t="s">
        <v>1688</v>
      </c>
      <c r="AX57" s="664" t="s">
        <v>1692</v>
      </c>
      <c r="AZ57" s="664" t="s">
        <v>1281</v>
      </c>
      <c r="BE57" s="664">
        <v>2055</v>
      </c>
      <c r="BJ57" s="708" t="s">
        <v>1647</v>
      </c>
      <c r="BL57" s="708" t="s">
        <v>1647</v>
      </c>
    </row>
    <row r="58" spans="1:64" ht="11.25" customHeight="1">
      <c r="A58" s="34" t="s">
        <v>1693</v>
      </c>
      <c r="D58" s="662" t="s">
        <v>1694</v>
      </c>
      <c r="E58" s="644" t="s">
        <v>112</v>
      </c>
      <c r="F58" s="34" t="s">
        <v>1688</v>
      </c>
      <c r="AX58" s="664" t="s">
        <v>1695</v>
      </c>
      <c r="BE58" s="664">
        <v>2056</v>
      </c>
      <c r="BJ58" s="708" t="s">
        <v>1651</v>
      </c>
      <c r="BL58" s="708" t="s">
        <v>1651</v>
      </c>
    </row>
    <row r="59" spans="1:64" ht="11.25" customHeight="1">
      <c r="A59" s="34" t="s">
        <v>1696</v>
      </c>
      <c r="D59" s="662" t="s">
        <v>132</v>
      </c>
      <c r="E59" s="644" t="s">
        <v>1583</v>
      </c>
      <c r="F59" s="34" t="s">
        <v>1697</v>
      </c>
      <c r="AX59" s="664" t="s">
        <v>1698</v>
      </c>
      <c r="AZ59" s="628" t="s">
        <v>1699</v>
      </c>
      <c r="BE59" s="664">
        <v>2057</v>
      </c>
      <c r="BJ59" s="708" t="s">
        <v>1655</v>
      </c>
      <c r="BL59" s="708" t="s">
        <v>1655</v>
      </c>
    </row>
    <row r="60" spans="1:64" ht="11.25" customHeight="1">
      <c r="A60" s="34" t="s">
        <v>1700</v>
      </c>
      <c r="D60" s="662" t="s">
        <v>1701</v>
      </c>
      <c r="E60" s="644" t="s">
        <v>1583</v>
      </c>
      <c r="F60" s="34" t="s">
        <v>1697</v>
      </c>
      <c r="AX60" s="664" t="s">
        <v>1702</v>
      </c>
      <c r="AZ60" s="664" t="s">
        <v>1219</v>
      </c>
      <c r="BE60" s="664">
        <v>2058</v>
      </c>
      <c r="BJ60" s="708" t="s">
        <v>1661</v>
      </c>
      <c r="BL60" s="708" t="s">
        <v>1661</v>
      </c>
    </row>
    <row r="61" spans="1:64" ht="11.25" customHeight="1">
      <c r="A61" s="34" t="s">
        <v>1703</v>
      </c>
      <c r="D61" s="662" t="s">
        <v>1704</v>
      </c>
      <c r="E61" s="644" t="s">
        <v>1583</v>
      </c>
      <c r="F61" s="34" t="s">
        <v>1697</v>
      </c>
      <c r="AX61" s="664" t="s">
        <v>1705</v>
      </c>
      <c r="AZ61" s="664" t="s">
        <v>1247</v>
      </c>
      <c r="BE61" s="664">
        <v>2059</v>
      </c>
      <c r="BL61" s="708" t="s">
        <v>1043</v>
      </c>
    </row>
    <row r="62" spans="1:64" ht="11.25" customHeight="1">
      <c r="A62" s="34" t="s">
        <v>1706</v>
      </c>
      <c r="D62" s="662" t="s">
        <v>131</v>
      </c>
      <c r="E62" s="644">
        <v>30</v>
      </c>
      <c r="F62" s="34" t="s">
        <v>1697</v>
      </c>
      <c r="AZ62" s="664" t="s">
        <v>1282</v>
      </c>
      <c r="BE62" s="664">
        <v>2060</v>
      </c>
      <c r="BL62" s="708" t="s">
        <v>1045</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1248</v>
      </c>
      <c r="BE68" s="664">
        <v>2066</v>
      </c>
      <c r="BH68" s="628" t="s">
        <v>1716</v>
      </c>
      <c r="BJ68" s="628" t="s">
        <v>1717</v>
      </c>
      <c r="BL68" s="628" t="s">
        <v>1718</v>
      </c>
      <c r="BN68" s="628" t="s">
        <v>1719</v>
      </c>
    </row>
    <row r="69" spans="1:66" ht="11.25" customHeight="1">
      <c r="A69" s="34" t="s">
        <v>1720</v>
      </c>
      <c r="AZ69" s="664" t="s">
        <v>1283</v>
      </c>
      <c r="BE69" s="664">
        <v>2067</v>
      </c>
      <c r="BH69" s="629" t="s">
        <v>1721</v>
      </c>
      <c r="BI69" s="188" t="s">
        <v>110</v>
      </c>
      <c r="BJ69" s="629" t="s">
        <v>1722</v>
      </c>
      <c r="BK69" s="188" t="s">
        <v>110</v>
      </c>
      <c r="BL69" s="629" t="s">
        <v>1723</v>
      </c>
      <c r="BM69" s="188" t="s">
        <v>110</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91</v>
      </c>
      <c r="BJ71" s="629" t="s">
        <v>1732</v>
      </c>
      <c r="BK71" s="188" t="s">
        <v>91</v>
      </c>
      <c r="BL71" s="629" t="s">
        <v>1733</v>
      </c>
      <c r="BM71" s="188" t="s">
        <v>91</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112</v>
      </c>
      <c r="BJ73" s="629" t="s">
        <v>1740</v>
      </c>
      <c r="BK73" s="188" t="s">
        <v>112</v>
      </c>
      <c r="BL73" s="629" t="s">
        <v>1741</v>
      </c>
      <c r="BM73" s="188" t="s">
        <v>112</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1258</v>
      </c>
    </row>
    <row r="78" spans="1:66" ht="11.25" customHeight="1">
      <c r="A78" s="34" t="s">
        <v>1756</v>
      </c>
      <c r="AZ78" s="664" t="s">
        <v>1290</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1021</v>
      </c>
    </row>
    <row r="91" spans="1:66" ht="11.25" customHeight="1">
      <c r="A91" s="34" t="s">
        <v>1797</v>
      </c>
      <c r="AZ91" s="664" t="s">
        <v>1057</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574</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1244</v>
      </c>
    </row>
    <row r="117" spans="52:60" ht="11.25" customHeight="1">
      <c r="BH117" s="629" t="s">
        <v>1279</v>
      </c>
    </row>
    <row r="118" spans="52:60" ht="11.25" customHeight="1">
      <c r="BH118" s="629"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25" style="254" hidden="1"/>
  </cols>
  <sheetData>
    <row r="1" spans="1:10" ht="11.25" hidden="1" customHeight="1">
      <c r="A1" s="288" t="s">
        <v>303</v>
      </c>
      <c r="J1" s="254" t="s">
        <v>14</v>
      </c>
    </row>
    <row r="2" spans="1:10" ht="22.5" hidden="1" customHeight="1">
      <c r="A2" s="289"/>
      <c r="B2" s="289"/>
      <c r="C2" s="939" t="s">
        <v>522</v>
      </c>
      <c r="D2" s="835"/>
      <c r="E2" s="217"/>
      <c r="F2" s="856"/>
      <c r="H2" s="270"/>
      <c r="J2" s="254">
        <v>0</v>
      </c>
    </row>
    <row r="3" spans="1:10" ht="11.25" hidden="1" customHeight="1">
      <c r="J3" s="254">
        <v>0</v>
      </c>
    </row>
    <row r="4" spans="1:10" ht="11.55" customHeight="1">
      <c r="A4" s="857"/>
      <c r="B4" s="857"/>
      <c r="J4" s="254">
        <v>11</v>
      </c>
    </row>
    <row r="5" spans="1:10" ht="27.3" customHeight="1">
      <c r="D5" s="11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2"/>
      <c r="F5" s="1153"/>
      <c r="I5" s="413"/>
      <c r="J5" s="254">
        <v>26</v>
      </c>
    </row>
    <row r="6" spans="1:10" ht="18" customHeight="1">
      <c r="D6" s="1247" t="str">
        <f>IF(region_name=0,"Не определено",region_name)</f>
        <v>Ханты-Мансийский автономный округ</v>
      </c>
      <c r="E6" s="1247"/>
      <c r="F6" s="1247"/>
      <c r="I6" s="413"/>
      <c r="J6" s="254">
        <v>17</v>
      </c>
    </row>
    <row r="7" spans="1:10" s="272" customFormat="1" ht="11.55" customHeight="1">
      <c r="A7" s="288"/>
      <c r="B7" s="288"/>
      <c r="D7" s="412"/>
      <c r="E7" s="412"/>
      <c r="F7" s="435"/>
      <c r="G7" s="412"/>
      <c r="J7" s="272">
        <v>11</v>
      </c>
    </row>
    <row r="8" spans="1:10" ht="11.25" hidden="1" customHeight="1">
      <c r="A8" s="289"/>
      <c r="B8" s="289"/>
      <c r="C8" s="10"/>
      <c r="D8" s="14"/>
      <c r="E8" s="1253"/>
      <c r="F8" s="1253"/>
      <c r="J8" s="254">
        <v>0</v>
      </c>
    </row>
    <row r="9" spans="1:10" ht="11.55" customHeight="1">
      <c r="A9" s="289"/>
      <c r="B9" s="289"/>
      <c r="C9" s="10"/>
      <c r="D9" s="1250" t="s">
        <v>304</v>
      </c>
      <c r="E9" s="1251"/>
      <c r="F9" s="1251"/>
      <c r="G9" s="1254" t="s">
        <v>305</v>
      </c>
      <c r="J9" s="254">
        <v>11</v>
      </c>
    </row>
    <row r="10" spans="1:10" ht="11.55" customHeight="1">
      <c r="A10" s="289"/>
      <c r="B10" s="289"/>
      <c r="C10" s="10"/>
      <c r="D10" s="268" t="s">
        <v>89</v>
      </c>
      <c r="E10" s="252" t="s">
        <v>306</v>
      </c>
      <c r="F10" s="252" t="s">
        <v>307</v>
      </c>
      <c r="G10" s="1255"/>
      <c r="J10" s="254">
        <v>11</v>
      </c>
    </row>
    <row r="11" spans="1:10" ht="1.05"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АО "Юграавиа"</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95" customHeight="1">
      <c r="A13" s="289"/>
      <c r="B13" s="289"/>
      <c r="C13" s="10"/>
      <c r="D13" s="835">
        <v>2</v>
      </c>
      <c r="E13" s="709" t="s">
        <v>1856</v>
      </c>
      <c r="F13" s="41" t="s">
        <v>310</v>
      </c>
      <c r="G13" s="269"/>
      <c r="H13" s="841"/>
      <c r="J13" s="254">
        <v>19</v>
      </c>
    </row>
    <row r="14" spans="1:10" ht="19.95" customHeight="1">
      <c r="A14" s="289"/>
      <c r="B14" s="289"/>
      <c r="C14" s="10"/>
      <c r="D14" s="836" t="s">
        <v>711</v>
      </c>
      <c r="E14" s="323" t="s">
        <v>1857</v>
      </c>
      <c r="F14" s="217"/>
      <c r="G14" s="67" t="s">
        <v>1858</v>
      </c>
      <c r="H14" s="841"/>
      <c r="J14" s="254">
        <v>19</v>
      </c>
    </row>
    <row r="15" spans="1:10" ht="19.95" customHeight="1">
      <c r="A15" s="289"/>
      <c r="B15" s="289"/>
      <c r="C15" s="10"/>
      <c r="D15" s="836" t="s">
        <v>311</v>
      </c>
      <c r="E15" s="323" t="s">
        <v>1859</v>
      </c>
      <c r="F15" s="217"/>
      <c r="G15" s="67" t="s">
        <v>1860</v>
      </c>
      <c r="H15" s="841"/>
      <c r="J15" s="254">
        <v>19</v>
      </c>
    </row>
    <row r="16" spans="1:10" ht="24" customHeight="1">
      <c r="A16" s="289"/>
      <c r="B16" s="289"/>
      <c r="C16" s="10"/>
      <c r="D16" s="836" t="s">
        <v>314</v>
      </c>
      <c r="E16" s="177" t="s">
        <v>1861</v>
      </c>
      <c r="F16" s="37"/>
      <c r="G16" s="269" t="s">
        <v>1862</v>
      </c>
      <c r="H16" s="841"/>
      <c r="J16" s="254">
        <v>23</v>
      </c>
    </row>
    <row r="17" spans="1:10" ht="48.3" customHeight="1">
      <c r="A17" s="289"/>
      <c r="B17" s="289"/>
      <c r="C17" s="10"/>
      <c r="D17" s="835">
        <v>3</v>
      </c>
      <c r="E17" s="709" t="s">
        <v>1863</v>
      </c>
      <c r="F17" s="217"/>
      <c r="G17" s="269" t="s">
        <v>1864</v>
      </c>
      <c r="H17" s="841"/>
      <c r="J17" s="254">
        <v>46</v>
      </c>
    </row>
    <row r="18" spans="1:10" ht="48.3" customHeight="1">
      <c r="A18" s="817">
        <v>1</v>
      </c>
      <c r="B18" s="289"/>
      <c r="C18" s="818"/>
      <c r="D18" s="835" t="s">
        <v>92</v>
      </c>
      <c r="E18" s="709" t="s">
        <v>1865</v>
      </c>
      <c r="F18" s="217"/>
      <c r="G18" s="269" t="s">
        <v>1864</v>
      </c>
      <c r="H18" s="841"/>
      <c r="I18" s="489"/>
      <c r="J18" s="254">
        <v>46</v>
      </c>
    </row>
    <row r="19" spans="1:10" ht="23.25" customHeight="1">
      <c r="A19" s="289"/>
      <c r="B19" s="289"/>
      <c r="C19" s="10"/>
      <c r="D19" s="835" t="s">
        <v>112</v>
      </c>
      <c r="E19" s="709" t="s">
        <v>1866</v>
      </c>
      <c r="F19" s="41" t="s">
        <v>310</v>
      </c>
      <c r="G19" s="1480" t="s">
        <v>1867</v>
      </c>
      <c r="H19" s="270"/>
      <c r="J19" s="254">
        <v>22</v>
      </c>
    </row>
    <row r="20" spans="1:10" s="839" customFormat="1" ht="5.25" hidden="1" customHeight="1">
      <c r="A20" s="289"/>
      <c r="B20" s="289"/>
      <c r="C20" s="838"/>
      <c r="D20" s="837" t="s">
        <v>1118</v>
      </c>
      <c r="E20" s="594"/>
      <c r="F20" s="316"/>
      <c r="G20" s="1481"/>
      <c r="J20" s="839">
        <v>0</v>
      </c>
    </row>
    <row r="21" spans="1:10" ht="15.75" customHeight="1">
      <c r="A21" s="289"/>
      <c r="B21" s="289"/>
      <c r="C21" s="10"/>
      <c r="D21" s="263"/>
      <c r="E21" s="110" t="s">
        <v>343</v>
      </c>
      <c r="F21" s="265"/>
      <c r="G21" s="1482"/>
      <c r="H21" s="841"/>
      <c r="J21" s="254">
        <v>15</v>
      </c>
    </row>
    <row r="22" spans="1:10" s="288" customFormat="1" ht="26.25" customHeight="1">
      <c r="A22" s="289"/>
      <c r="B22" s="289"/>
      <c r="C22" s="289"/>
      <c r="D22" s="835" t="s">
        <v>93</v>
      </c>
      <c r="E22" s="269" t="s">
        <v>1868</v>
      </c>
      <c r="F22" s="217"/>
      <c r="G22" s="269" t="s">
        <v>1869</v>
      </c>
      <c r="H22" s="840"/>
      <c r="J22" s="288">
        <v>25</v>
      </c>
    </row>
    <row r="23" spans="1:10" s="288" customFormat="1" ht="19.95" customHeight="1">
      <c r="A23" s="289"/>
      <c r="B23" s="289"/>
      <c r="C23" s="289"/>
      <c r="D23" s="835" t="s">
        <v>94</v>
      </c>
      <c r="E23" s="709" t="s">
        <v>1870</v>
      </c>
      <c r="F23" s="37"/>
      <c r="G23" s="269" t="s">
        <v>1871</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1" hidden="1"/>
    <col min="2" max="2" width="9.125" style="63" hidden="1"/>
    <col min="3" max="3" width="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25" style="11" hidden="1"/>
  </cols>
  <sheetData>
    <row r="1" spans="1:255" ht="22.5" hidden="1" customHeight="1">
      <c r="F1" s="11" t="s">
        <v>1872</v>
      </c>
      <c r="G1" s="11" t="s">
        <v>50</v>
      </c>
      <c r="H1" s="11" t="s">
        <v>52</v>
      </c>
      <c r="IU1" s="11" t="s">
        <v>14</v>
      </c>
    </row>
    <row r="2" spans="1:255" ht="22.5" hidden="1" customHeight="1">
      <c r="A2" s="80"/>
      <c r="B2" s="63">
        <v>1</v>
      </c>
      <c r="C2" s="63"/>
      <c r="D2" s="1039" t="s">
        <v>522</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2"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7"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3" customHeight="1">
      <c r="A5" s="11"/>
      <c r="B5" s="63"/>
      <c r="C5" s="11"/>
      <c r="D5" s="77"/>
      <c r="E5" s="11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4"/>
      <c r="G5" s="1144"/>
      <c r="H5" s="1144"/>
      <c r="I5" s="1144"/>
      <c r="J5" s="1144"/>
      <c r="K5" s="145"/>
      <c r="L5" s="69"/>
      <c r="M5" s="69"/>
      <c r="N5" s="69"/>
      <c r="O5" s="69"/>
      <c r="P5" s="69"/>
      <c r="Q5" s="126"/>
      <c r="R5" s="126"/>
      <c r="S5" s="126"/>
      <c r="T5" s="126"/>
      <c r="IU5" s="45">
        <v>26</v>
      </c>
    </row>
    <row r="6" spans="1:255" s="45" customFormat="1" ht="14.7"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7" customHeight="1">
      <c r="A7" s="11"/>
      <c r="B7" s="63"/>
      <c r="C7" s="11"/>
      <c r="D7" s="77"/>
      <c r="E7" s="1140" t="s">
        <v>304</v>
      </c>
      <c r="F7" s="1145"/>
      <c r="G7" s="1145"/>
      <c r="H7" s="1145"/>
      <c r="I7" s="1145"/>
      <c r="J7" s="1483" t="s">
        <v>305</v>
      </c>
      <c r="K7" s="69"/>
      <c r="L7" s="69"/>
      <c r="M7" s="69"/>
      <c r="N7" s="69"/>
      <c r="O7" s="69"/>
      <c r="P7" s="69"/>
      <c r="Q7" s="126"/>
      <c r="R7" s="126"/>
      <c r="S7" s="126"/>
      <c r="T7" s="126"/>
      <c r="IU7" s="45">
        <v>14</v>
      </c>
    </row>
    <row r="8" spans="1:255" s="45" customFormat="1" ht="21" customHeight="1">
      <c r="A8" s="11"/>
      <c r="B8" s="63"/>
      <c r="C8" s="11"/>
      <c r="D8" s="77"/>
      <c r="E8" s="855" t="s">
        <v>89</v>
      </c>
      <c r="F8" s="848" t="s">
        <v>1872</v>
      </c>
      <c r="G8" s="848" t="s">
        <v>50</v>
      </c>
      <c r="H8" s="848" t="s">
        <v>52</v>
      </c>
      <c r="I8" s="848" t="s">
        <v>1873</v>
      </c>
      <c r="J8" s="1484"/>
      <c r="K8" s="69"/>
      <c r="L8" s="69"/>
      <c r="M8" s="69"/>
      <c r="N8" s="69"/>
      <c r="O8" s="69"/>
      <c r="P8" s="69"/>
      <c r="Q8" s="126"/>
      <c r="R8" s="126"/>
      <c r="S8" s="126"/>
      <c r="T8" s="126"/>
      <c r="IU8" s="45">
        <v>20</v>
      </c>
    </row>
    <row r="9" spans="1:255" ht="23.25" customHeight="1">
      <c r="B9" s="63">
        <v>1</v>
      </c>
      <c r="C9" s="63"/>
      <c r="D9" s="462"/>
      <c r="E9" s="41">
        <v>1</v>
      </c>
      <c r="F9" s="854"/>
      <c r="G9" s="113"/>
      <c r="H9" s="113"/>
      <c r="I9" s="846"/>
      <c r="J9" s="12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206"/>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2.0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7"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05"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7" customHeight="1">
      <c r="IU16" s="11">
        <v>14</v>
      </c>
    </row>
    <row r="17" spans="1:255" ht="14.7" customHeight="1">
      <c r="IU17" s="11">
        <v>14</v>
      </c>
    </row>
    <row r="18" spans="1:255" ht="14.7" customHeight="1">
      <c r="IU18" s="11">
        <v>14</v>
      </c>
    </row>
    <row r="19" spans="1:255" ht="14.7" customHeight="1">
      <c r="G19"/>
      <c r="H19"/>
      <c r="I19"/>
      <c r="IU19" s="11">
        <v>14</v>
      </c>
    </row>
    <row r="20" spans="1:255" ht="14.7" customHeight="1">
      <c r="IU20" s="11">
        <v>14</v>
      </c>
    </row>
    <row r="21" spans="1:255" ht="14.7" customHeight="1">
      <c r="IU21" s="11">
        <v>14</v>
      </c>
    </row>
    <row r="22" spans="1:255" ht="14.7" customHeight="1">
      <c r="IU22" s="11">
        <v>14</v>
      </c>
    </row>
    <row r="23" spans="1:255" ht="14.7"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1" hidden="1"/>
    <col min="2" max="2" width="9.125" style="63" hidden="1"/>
    <col min="3" max="3" width="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25" style="11" hidden="1"/>
  </cols>
  <sheetData>
    <row r="1" spans="1:257" ht="22.5" hidden="1" customHeight="1">
      <c r="IW1" s="11" t="s">
        <v>14</v>
      </c>
    </row>
    <row r="2" spans="1:257" ht="22.5" hidden="1" customHeight="1">
      <c r="A2" s="80"/>
      <c r="B2" s="63">
        <v>1</v>
      </c>
      <c r="C2" s="63"/>
      <c r="D2" s="1039" t="s">
        <v>522</v>
      </c>
      <c r="E2" s="389"/>
      <c r="F2" s="1021" t="str">
        <f>IF(ROIV_INFO_NAME="","",ROIV_INFO_NAME)</f>
        <v>АО "Юграавиа"</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7"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4"/>
      <c r="G5" s="1144"/>
      <c r="H5" s="1144"/>
      <c r="I5" s="1144"/>
      <c r="J5" s="1144"/>
      <c r="K5" s="1144"/>
      <c r="L5" s="11"/>
      <c r="M5" s="145"/>
      <c r="N5" s="69"/>
      <c r="O5" s="69"/>
      <c r="P5" s="69"/>
      <c r="Q5" s="69"/>
      <c r="R5" s="69"/>
      <c r="S5" s="126"/>
      <c r="T5" s="126"/>
      <c r="U5" s="126"/>
      <c r="V5" s="126"/>
      <c r="IW5" s="45">
        <v>26</v>
      </c>
    </row>
    <row r="6" spans="1:257" s="45" customFormat="1" ht="14.7"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7" customHeight="1">
      <c r="A7" s="11"/>
      <c r="B7" s="63"/>
      <c r="C7" s="11"/>
      <c r="D7" s="77"/>
      <c r="E7" s="1140" t="s">
        <v>304</v>
      </c>
      <c r="F7" s="1145"/>
      <c r="G7" s="1145"/>
      <c r="H7" s="1145"/>
      <c r="I7" s="1145"/>
      <c r="J7" s="1145"/>
      <c r="K7" s="1145"/>
      <c r="L7" s="1483" t="s">
        <v>305</v>
      </c>
      <c r="M7" s="69"/>
      <c r="N7" s="69"/>
      <c r="O7" s="69"/>
      <c r="P7" s="69"/>
      <c r="Q7" s="69"/>
      <c r="R7" s="69"/>
      <c r="S7" s="126"/>
      <c r="T7" s="126"/>
      <c r="U7" s="126"/>
      <c r="V7" s="126"/>
      <c r="IW7" s="45">
        <v>14</v>
      </c>
    </row>
    <row r="8" spans="1:257" s="45" customFormat="1" ht="67.2" customHeight="1">
      <c r="A8" s="11"/>
      <c r="B8" s="63"/>
      <c r="C8" s="11"/>
      <c r="D8" s="77"/>
      <c r="E8" s="1487" t="s">
        <v>89</v>
      </c>
      <c r="F8" s="1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90"/>
      <c r="I8" s="1491"/>
      <c r="J8" s="1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5"/>
      <c r="M8" s="69"/>
      <c r="N8" s="69"/>
      <c r="O8" s="69"/>
      <c r="P8" s="69"/>
      <c r="Q8" s="69"/>
      <c r="R8" s="69"/>
      <c r="S8" s="126"/>
      <c r="T8" s="126"/>
      <c r="U8" s="126"/>
      <c r="V8" s="126"/>
      <c r="IW8" s="45">
        <v>64</v>
      </c>
    </row>
    <row r="9" spans="1:257" s="45" customFormat="1" ht="29.25" customHeight="1">
      <c r="A9" s="11"/>
      <c r="B9" s="63"/>
      <c r="C9" s="11"/>
      <c r="D9" s="77"/>
      <c r="E9" s="1488"/>
      <c r="F9" s="1488"/>
      <c r="G9" s="845" t="s">
        <v>1875</v>
      </c>
      <c r="H9" s="845" t="s">
        <v>1876</v>
      </c>
      <c r="I9" s="845" t="s">
        <v>1877</v>
      </c>
      <c r="J9" s="1488"/>
      <c r="K9" s="1488"/>
      <c r="L9" s="1484"/>
      <c r="M9" s="69"/>
      <c r="N9" s="69"/>
      <c r="O9" s="69"/>
      <c r="P9" s="69"/>
      <c r="Q9" s="69"/>
      <c r="R9" s="69"/>
      <c r="S9" s="126"/>
      <c r="T9" s="126"/>
      <c r="U9" s="126"/>
      <c r="V9" s="126"/>
      <c r="IW9" s="45">
        <v>28</v>
      </c>
    </row>
    <row r="10" spans="1:257" ht="23.25" customHeight="1">
      <c r="A10" s="1143"/>
      <c r="B10" s="63">
        <v>1</v>
      </c>
      <c r="C10" s="63"/>
      <c r="D10" s="461"/>
      <c r="E10" s="447">
        <v>1</v>
      </c>
      <c r="F10" s="847" t="str">
        <f>IF(ROIV_INFO_NAME="","",ROIV_INFO_NAME)</f>
        <v>АО "Юграавиа"</v>
      </c>
      <c r="G10" s="941" t="s">
        <v>28</v>
      </c>
      <c r="H10" s="1032"/>
      <c r="I10" s="842"/>
      <c r="J10" s="228"/>
      <c r="K10" s="228"/>
      <c r="L10" s="14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3"/>
      <c r="C11" s="235"/>
      <c r="D11" s="462"/>
      <c r="E11" s="237"/>
      <c r="F11" s="52" t="s">
        <v>1878</v>
      </c>
      <c r="G11" s="97"/>
      <c r="H11" s="97"/>
      <c r="I11" s="97"/>
      <c r="J11" s="97"/>
      <c r="K11" s="238"/>
      <c r="L11" s="148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7"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1" hidden="1"/>
    <col min="2" max="2" width="9.125" style="63" hidden="1"/>
    <col min="3" max="3" width="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25" style="11" hidden="1"/>
  </cols>
  <sheetData>
    <row r="1" spans="1:257" ht="22.5" hidden="1" customHeight="1">
      <c r="IW1" s="11" t="s">
        <v>14</v>
      </c>
    </row>
    <row r="2" spans="1:257" ht="22.5" hidden="1" customHeight="1">
      <c r="A2" s="80"/>
      <c r="B2" s="63">
        <v>1</v>
      </c>
      <c r="C2" s="63"/>
      <c r="D2" s="1039" t="s">
        <v>522</v>
      </c>
      <c r="E2" s="41"/>
      <c r="F2" s="1021" t="str">
        <f>IF(ROIV_INFO_NAME="","",ROIV_INFO_NAME)</f>
        <v>АО "Юграавиа"</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7"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4"/>
      <c r="G5" s="1144"/>
      <c r="H5" s="1144"/>
      <c r="I5" s="1144"/>
      <c r="J5" s="1144"/>
      <c r="K5" s="1144"/>
      <c r="L5" s="11"/>
      <c r="M5" s="145"/>
      <c r="N5" s="69"/>
      <c r="O5" s="69"/>
      <c r="P5" s="69"/>
      <c r="Q5" s="69"/>
      <c r="R5" s="69"/>
      <c r="S5" s="126"/>
      <c r="T5" s="126"/>
      <c r="U5" s="126"/>
      <c r="V5" s="126"/>
      <c r="IW5" s="45">
        <v>26</v>
      </c>
    </row>
    <row r="6" spans="1:257" s="45" customFormat="1" ht="14.7"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7" customHeight="1">
      <c r="A7" s="11"/>
      <c r="B7" s="63"/>
      <c r="C7" s="11"/>
      <c r="D7" s="77"/>
      <c r="E7" s="1140" t="s">
        <v>304</v>
      </c>
      <c r="F7" s="1145"/>
      <c r="G7" s="1145"/>
      <c r="H7" s="1145"/>
      <c r="I7" s="1145"/>
      <c r="J7" s="1145"/>
      <c r="K7" s="1145"/>
      <c r="L7" s="1483" t="s">
        <v>305</v>
      </c>
      <c r="M7" s="69"/>
      <c r="N7" s="69"/>
      <c r="O7" s="69"/>
      <c r="P7" s="69"/>
      <c r="Q7" s="69"/>
      <c r="R7" s="69"/>
      <c r="S7" s="126"/>
      <c r="T7" s="126"/>
      <c r="U7" s="126"/>
      <c r="V7" s="126"/>
      <c r="IW7" s="45">
        <v>14</v>
      </c>
    </row>
    <row r="8" spans="1:257" s="45" customFormat="1" ht="67.2" customHeight="1">
      <c r="A8" s="11"/>
      <c r="B8" s="63"/>
      <c r="C8" s="11"/>
      <c r="D8" s="77"/>
      <c r="E8" s="1487" t="s">
        <v>89</v>
      </c>
      <c r="F8" s="1487" t="s">
        <v>1879</v>
      </c>
      <c r="G8" s="1489" t="s">
        <v>1880</v>
      </c>
      <c r="H8" s="1490"/>
      <c r="I8" s="1491"/>
      <c r="J8" s="1487" t="s">
        <v>1881</v>
      </c>
      <c r="K8" s="1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5"/>
      <c r="M8" s="69"/>
      <c r="N8" s="69"/>
      <c r="O8" s="69"/>
      <c r="P8" s="69"/>
      <c r="Q8" s="69"/>
      <c r="R8" s="69"/>
      <c r="S8" s="126"/>
      <c r="T8" s="126"/>
      <c r="U8" s="126"/>
      <c r="V8" s="126"/>
      <c r="IW8" s="45">
        <v>64</v>
      </c>
    </row>
    <row r="9" spans="1:257" s="45" customFormat="1" ht="29.25" customHeight="1">
      <c r="A9" s="11"/>
      <c r="B9" s="63"/>
      <c r="C9" s="11"/>
      <c r="D9" s="77"/>
      <c r="E9" s="1488"/>
      <c r="F9" s="1488"/>
      <c r="G9" s="845" t="s">
        <v>1875</v>
      </c>
      <c r="H9" s="845" t="s">
        <v>1876</v>
      </c>
      <c r="I9" s="845" t="s">
        <v>1877</v>
      </c>
      <c r="J9" s="1488"/>
      <c r="K9" s="1488"/>
      <c r="L9" s="1484"/>
      <c r="M9" s="69"/>
      <c r="N9" s="69"/>
      <c r="O9" s="69"/>
      <c r="P9" s="69"/>
      <c r="Q9" s="69"/>
      <c r="R9" s="69"/>
      <c r="S9" s="126"/>
      <c r="T9" s="126"/>
      <c r="U9" s="126"/>
      <c r="V9" s="126"/>
      <c r="IW9" s="45">
        <v>28</v>
      </c>
    </row>
    <row r="10" spans="1:257" ht="1.05" customHeight="1">
      <c r="A10" s="1143"/>
      <c r="B10" s="63">
        <v>1</v>
      </c>
      <c r="C10" s="63"/>
      <c r="D10" s="461"/>
      <c r="E10" s="457">
        <v>0</v>
      </c>
      <c r="F10" s="1020" t="str">
        <f>IF(ROIV_INFO_NAME="","",ROIV_INFO_NAME)</f>
        <v>АО "Юграавиа"</v>
      </c>
      <c r="G10" s="942" t="s">
        <v>28</v>
      </c>
      <c r="H10" s="1027"/>
      <c r="I10" s="1027"/>
      <c r="J10" s="295"/>
      <c r="K10" s="295"/>
      <c r="L10" s="14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3"/>
      <c r="C11" s="235"/>
      <c r="D11" s="462"/>
      <c r="E11" s="237"/>
      <c r="F11" s="52" t="s">
        <v>1878</v>
      </c>
      <c r="G11" s="97"/>
      <c r="H11" s="97"/>
      <c r="I11" s="97"/>
      <c r="J11" s="97"/>
      <c r="K11" s="238"/>
      <c r="L11" s="148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7"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1" hidden="1"/>
    <col min="2" max="2" width="9.125" style="63" hidden="1"/>
    <col min="3" max="3" width="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25" style="11" hidden="1"/>
  </cols>
  <sheetData>
    <row r="1" spans="1:17" ht="22.5" hidden="1" customHeight="1">
      <c r="Q1" s="11" t="s">
        <v>14</v>
      </c>
    </row>
    <row r="2" spans="1:17" ht="22.5" hidden="1" customHeight="1">
      <c r="A2" s="203"/>
      <c r="B2" s="63">
        <v>1</v>
      </c>
      <c r="C2" s="63"/>
      <c r="D2" s="1039" t="s">
        <v>522</v>
      </c>
      <c r="E2" s="1158">
        <v>1</v>
      </c>
      <c r="F2" s="1333" t="str">
        <f>IF(region_name="","",region_name)</f>
        <v>Ханты-Мансийский автономный округ</v>
      </c>
      <c r="G2" s="1500"/>
      <c r="H2" s="1501"/>
      <c r="I2" s="269"/>
      <c r="J2" s="389">
        <v>1</v>
      </c>
      <c r="K2" s="217"/>
      <c r="L2" s="217"/>
      <c r="M2" s="217"/>
      <c r="N2" s="282"/>
      <c r="O2" s="843"/>
      <c r="P2" s="68"/>
      <c r="Q2">
        <v>0</v>
      </c>
    </row>
    <row r="3" spans="1:17" ht="22.5" hidden="1" customHeight="1">
      <c r="A3" s="80"/>
      <c r="C3" s="63"/>
      <c r="D3" s="462"/>
      <c r="E3" s="1158"/>
      <c r="F3" s="1333"/>
      <c r="G3" s="1500"/>
      <c r="H3" s="1502"/>
      <c r="I3" s="237"/>
      <c r="J3" s="823"/>
      <c r="K3" s="823" t="s">
        <v>1882</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522</v>
      </c>
      <c r="J5" s="399">
        <v>1</v>
      </c>
      <c r="K5" s="217"/>
      <c r="L5" s="217"/>
      <c r="M5" s="217"/>
      <c r="N5" s="282"/>
      <c r="O5" s="843"/>
      <c r="P5" s="68"/>
      <c r="Q5">
        <v>0</v>
      </c>
    </row>
    <row r="6" spans="1:17" s="45" customFormat="1" ht="14.7" customHeight="1">
      <c r="A6" s="11"/>
      <c r="B6" s="63"/>
      <c r="C6" s="11"/>
      <c r="D6" s="77"/>
      <c r="E6" s="11"/>
      <c r="F6" s="11"/>
      <c r="G6" s="11"/>
      <c r="H6" s="11"/>
      <c r="I6" s="11"/>
      <c r="J6" s="11"/>
      <c r="K6" s="11"/>
      <c r="L6" s="11"/>
      <c r="M6" s="11"/>
      <c r="N6" s="11"/>
      <c r="O6" s="145"/>
      <c r="P6" s="69"/>
      <c r="Q6" s="45">
        <v>14</v>
      </c>
    </row>
    <row r="7" spans="1:17" s="45" customFormat="1" ht="27.3" customHeight="1">
      <c r="A7" s="11"/>
      <c r="B7" s="63"/>
      <c r="C7" s="11"/>
      <c r="D7" s="77"/>
      <c r="E7" s="1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94"/>
      <c r="G7" s="1494"/>
      <c r="H7" s="1494"/>
      <c r="I7" s="1494"/>
      <c r="J7" s="1494"/>
      <c r="K7" s="1494"/>
      <c r="L7" s="1494"/>
      <c r="M7" s="1494"/>
      <c r="N7" s="80"/>
      <c r="O7" s="145"/>
      <c r="P7" s="69"/>
      <c r="Q7" s="45">
        <v>26</v>
      </c>
    </row>
    <row r="8" spans="1:17" s="45" customFormat="1" ht="14.7"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7"/>
      <c r="J9" s="1497"/>
      <c r="K9" s="1497"/>
      <c r="L9" s="1030"/>
      <c r="M9" s="1031"/>
      <c r="O9" s="346"/>
      <c r="P9" s="346"/>
      <c r="Q9" s="853">
        <v>0</v>
      </c>
    </row>
    <row r="10" spans="1:17" s="45" customFormat="1" ht="14.7" customHeight="1">
      <c r="A10" s="11"/>
      <c r="B10" s="63"/>
      <c r="C10" s="11"/>
      <c r="D10" s="77"/>
      <c r="E10" s="1158" t="s">
        <v>304</v>
      </c>
      <c r="F10" s="1158"/>
      <c r="G10" s="1158"/>
      <c r="H10" s="1158"/>
      <c r="I10" s="1158"/>
      <c r="J10" s="1158"/>
      <c r="K10" s="1158"/>
      <c r="L10" s="1158"/>
      <c r="M10" s="1140"/>
      <c r="N10" s="1487" t="s">
        <v>305</v>
      </c>
      <c r="O10" s="69"/>
      <c r="P10" s="69"/>
      <c r="Q10" s="45">
        <v>14</v>
      </c>
    </row>
    <row r="11" spans="1:17" s="45" customFormat="1" ht="44.25" customHeight="1">
      <c r="A11" s="11"/>
      <c r="B11" s="63"/>
      <c r="C11" s="11"/>
      <c r="D11" s="77"/>
      <c r="E11" s="1496" t="s">
        <v>89</v>
      </c>
      <c r="F11" s="1496" t="s">
        <v>308</v>
      </c>
      <c r="G11" s="1496" t="s">
        <v>1883</v>
      </c>
      <c r="H11" s="1496"/>
      <c r="I11" s="1496" t="s">
        <v>1884</v>
      </c>
      <c r="J11" s="1496"/>
      <c r="K11" s="1496"/>
      <c r="L11" s="1496" t="s">
        <v>1885</v>
      </c>
      <c r="M11" s="1489" t="s">
        <v>1886</v>
      </c>
      <c r="N11" s="1495"/>
      <c r="O11" s="69"/>
      <c r="P11" s="69"/>
      <c r="Q11" s="45">
        <v>42</v>
      </c>
    </row>
    <row r="12" spans="1:17" s="45" customFormat="1" ht="29.25" customHeight="1">
      <c r="A12" s="11"/>
      <c r="B12" s="63"/>
      <c r="C12" s="11"/>
      <c r="D12" s="77"/>
      <c r="E12" s="1487"/>
      <c r="F12" s="1496"/>
      <c r="G12" s="83" t="s">
        <v>1887</v>
      </c>
      <c r="H12" s="83" t="s">
        <v>312</v>
      </c>
      <c r="I12" s="1496"/>
      <c r="J12" s="1496"/>
      <c r="K12" s="1496"/>
      <c r="L12" s="1496"/>
      <c r="M12" s="1489"/>
      <c r="N12" s="1488"/>
      <c r="O12" s="69"/>
      <c r="P12" s="69"/>
      <c r="Q12" s="45">
        <v>28</v>
      </c>
    </row>
    <row r="13" spans="1:17" ht="23.25" customHeight="1">
      <c r="A13" s="1143">
        <v>26379339</v>
      </c>
      <c r="B13" s="63">
        <v>1</v>
      </c>
      <c r="C13" s="63"/>
      <c r="D13" s="462"/>
      <c r="E13" s="1158">
        <v>1</v>
      </c>
      <c r="F13" s="1503" t="str">
        <f>IF(region_name="","",region_name)</f>
        <v>Ханты-Мансийский автономный округ</v>
      </c>
      <c r="G13" s="1504"/>
      <c r="H13" s="1498"/>
      <c r="I13" s="269"/>
      <c r="J13" s="447">
        <v>1</v>
      </c>
      <c r="K13" s="1034"/>
      <c r="L13" s="1035"/>
      <c r="M13" s="1035"/>
      <c r="N13" s="1492" t="s">
        <v>1888</v>
      </c>
      <c r="O13" s="843"/>
      <c r="P13" s="68"/>
      <c r="Q13">
        <v>22</v>
      </c>
    </row>
    <row r="14" spans="1:17" ht="23.25" customHeight="1">
      <c r="A14" s="1143"/>
      <c r="C14" s="63"/>
      <c r="D14" s="462"/>
      <c r="E14" s="1158"/>
      <c r="F14" s="1503"/>
      <c r="G14" s="1504"/>
      <c r="H14" s="1499"/>
      <c r="I14" s="237"/>
      <c r="J14" s="823"/>
      <c r="K14" s="823" t="s">
        <v>1882</v>
      </c>
      <c r="L14" s="851"/>
      <c r="M14" s="851"/>
      <c r="N14" s="1493"/>
      <c r="O14" s="843"/>
      <c r="P14" s="68"/>
      <c r="Q14">
        <v>22</v>
      </c>
    </row>
    <row r="15" spans="1:17" ht="23.25" customHeight="1">
      <c r="A15" s="1143"/>
      <c r="C15" s="235"/>
      <c r="D15" s="462"/>
      <c r="E15" s="237"/>
      <c r="F15" s="823" t="s">
        <v>1874</v>
      </c>
      <c r="G15" s="850"/>
      <c r="H15" s="850"/>
      <c r="I15" s="97"/>
      <c r="J15" s="97"/>
      <c r="K15" s="97"/>
      <c r="L15" s="97"/>
      <c r="M15" s="97"/>
      <c r="N15" s="1493"/>
      <c r="O15" s="844"/>
      <c r="P15" s="68"/>
      <c r="Q15">
        <v>22</v>
      </c>
    </row>
    <row r="16" spans="1:17" s="45" customFormat="1" ht="22.05" customHeight="1">
      <c r="A16" s="11"/>
      <c r="B16" s="63"/>
      <c r="C16" s="11"/>
      <c r="D16" s="77"/>
      <c r="E16" s="91"/>
      <c r="F16" s="91"/>
      <c r="G16" s="91"/>
      <c r="H16" s="91"/>
      <c r="I16" s="91"/>
      <c r="J16" s="91"/>
      <c r="K16" s="91"/>
      <c r="L16" s="91"/>
      <c r="M16" s="11"/>
      <c r="N16" s="11"/>
      <c r="O16" s="69"/>
      <c r="P16" s="69"/>
      <c r="Q16" s="45">
        <v>21</v>
      </c>
    </row>
    <row r="17" spans="1:17" s="45" customFormat="1" ht="14.7" customHeight="1">
      <c r="A17" s="11"/>
      <c r="B17" s="63"/>
      <c r="C17" s="11"/>
      <c r="D17" s="77"/>
      <c r="E17" s="11"/>
      <c r="F17" s="11"/>
      <c r="G17" s="11"/>
      <c r="H17" s="11"/>
      <c r="I17" s="11"/>
      <c r="J17" s="11"/>
      <c r="K17" s="11"/>
      <c r="L17" s="11"/>
      <c r="M17" s="11"/>
      <c r="N17" s="11"/>
      <c r="O17" s="69"/>
      <c r="P17" s="69"/>
      <c r="Q17" s="45">
        <v>14</v>
      </c>
    </row>
    <row r="18" spans="1:17" s="45" customFormat="1" ht="1.05"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46" hidden="1"/>
    <col min="2" max="2" width="9.1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4" t="s">
        <v>1889</v>
      </c>
      <c r="E5" s="1144"/>
      <c r="F5" s="1144"/>
      <c r="G5" s="1144"/>
      <c r="H5" s="1144"/>
      <c r="I5" s="156"/>
      <c r="M5" s="11">
        <v>30</v>
      </c>
    </row>
    <row r="6" spans="1:13" ht="3" hidden="1" customHeight="1">
      <c r="D6" s="7"/>
      <c r="E6" s="7"/>
      <c r="F6" s="7"/>
      <c r="G6" s="7"/>
      <c r="H6" s="7"/>
      <c r="I6" s="7"/>
      <c r="M6" s="34">
        <v>0</v>
      </c>
    </row>
    <row r="7" spans="1:13" s="46" customFormat="1" ht="14.7" customHeight="1">
      <c r="B7" s="34"/>
      <c r="C7" s="47"/>
      <c r="D7" s="48"/>
      <c r="E7" s="48"/>
      <c r="F7" s="48"/>
      <c r="G7" s="48"/>
      <c r="H7" s="435"/>
      <c r="I7" s="48"/>
      <c r="J7" s="49"/>
      <c r="M7" s="46">
        <v>14</v>
      </c>
    </row>
    <row r="8" spans="1:13" ht="14.7" customHeight="1">
      <c r="D8" s="1255" t="s">
        <v>304</v>
      </c>
      <c r="E8" s="1255"/>
      <c r="F8" s="1255"/>
      <c r="G8" s="1255"/>
      <c r="H8" s="1255"/>
      <c r="I8" s="1255" t="s">
        <v>305</v>
      </c>
      <c r="M8" s="34">
        <v>14</v>
      </c>
    </row>
    <row r="9" spans="1:13" ht="29.25" customHeight="1">
      <c r="D9" s="1255" t="s">
        <v>89</v>
      </c>
      <c r="E9" s="1255" t="s">
        <v>1890</v>
      </c>
      <c r="F9" s="1255"/>
      <c r="G9" s="1255"/>
      <c r="H9" s="1255"/>
      <c r="I9" s="1255"/>
      <c r="M9" s="34">
        <v>28</v>
      </c>
    </row>
    <row r="10" spans="1:13" ht="24" customHeight="1">
      <c r="D10" s="1255"/>
      <c r="E10" s="36" t="s">
        <v>1891</v>
      </c>
      <c r="F10" s="36" t="s">
        <v>1892</v>
      </c>
      <c r="G10" s="36" t="s">
        <v>1893</v>
      </c>
      <c r="H10" s="36" t="s">
        <v>394</v>
      </c>
      <c r="I10" s="1255"/>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204" t="s">
        <v>1894</v>
      </c>
      <c r="K12" s="160"/>
      <c r="L12" s="104"/>
      <c r="M12" s="34">
        <v>25</v>
      </c>
    </row>
    <row r="13" spans="1:13" ht="15.75" customHeight="1">
      <c r="A13" s="34"/>
      <c r="C13" s="34"/>
      <c r="D13" s="40"/>
      <c r="E13" s="52" t="s">
        <v>469</v>
      </c>
      <c r="F13" s="51"/>
      <c r="G13" s="51"/>
      <c r="H13" s="108"/>
      <c r="I13" s="1206"/>
      <c r="M13" s="34">
        <v>15</v>
      </c>
    </row>
    <row r="14" spans="1:13" ht="3" customHeight="1">
      <c r="A14" s="34"/>
      <c r="C14" s="34"/>
      <c r="M14" s="34">
        <v>3</v>
      </c>
    </row>
    <row r="15" spans="1:13" ht="29.25" customHeight="1">
      <c r="E15" s="1505" t="s">
        <v>1895</v>
      </c>
      <c r="F15" s="1505"/>
      <c r="G15" s="1505"/>
      <c r="H15" s="1505"/>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6" hidden="1"/>
    <col min="3" max="3" width="3" style="24" customWidth="1"/>
    <col min="4" max="4" width="6" style="6" customWidth="1"/>
    <col min="5" max="5" width="94" style="6" customWidth="1"/>
    <col min="6" max="9" width="8" style="6" customWidth="1"/>
    <col min="10" max="10" width="9.1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6" t="s">
        <v>1896</v>
      </c>
      <c r="E7" s="1507"/>
      <c r="F7" s="157"/>
      <c r="J7" s="6">
        <v>22</v>
      </c>
    </row>
    <row r="8" spans="1:10" ht="3" customHeight="1">
      <c r="C8" s="25"/>
      <c r="D8" s="7"/>
      <c r="E8" s="7"/>
      <c r="J8" s="6">
        <v>3</v>
      </c>
    </row>
    <row r="9" spans="1:10" ht="16.8" customHeight="1">
      <c r="C9" s="25"/>
      <c r="D9" s="36" t="s">
        <v>89</v>
      </c>
      <c r="E9" s="41" t="s">
        <v>1897</v>
      </c>
      <c r="J9" s="6">
        <v>16</v>
      </c>
    </row>
    <row r="10" spans="1:10" ht="1.05"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505" t="s">
        <v>1899</v>
      </c>
      <c r="E15" s="1505"/>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6" hidden="1"/>
    <col min="3" max="3" width="3" style="24" customWidth="1"/>
    <col min="4" max="4" width="6" style="6" customWidth="1"/>
    <col min="5" max="5" width="94" style="6" customWidth="1"/>
    <col min="6" max="12" width="8" style="6" customWidth="1"/>
    <col min="13" max="13" width="9.1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4" t="s">
        <v>1900</v>
      </c>
      <c r="E7" s="1144"/>
      <c r="F7" s="157"/>
      <c r="M7" s="6">
        <v>22</v>
      </c>
    </row>
    <row r="8" spans="1:13" ht="3" customHeight="1">
      <c r="C8" s="25"/>
      <c r="D8" s="7"/>
      <c r="E8" s="7"/>
      <c r="M8" s="6">
        <v>3</v>
      </c>
    </row>
    <row r="9" spans="1:13" ht="16.8"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7" customHeight="1">
      <c r="C12" s="25"/>
      <c r="D12" s="40"/>
      <c r="E12" s="38" t="s">
        <v>1898</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hidden="1"/>
    <col min="3" max="4" width="3" customWidth="1"/>
    <col min="5" max="6" width="15" customWidth="1"/>
    <col min="7" max="7" width="11.625" customWidth="1"/>
    <col min="8" max="9" width="3" customWidth="1"/>
    <col min="10" max="10" width="12" customWidth="1"/>
    <col min="11" max="11" width="0.25" customWidth="1"/>
    <col min="12" max="13" width="10" customWidth="1"/>
    <col min="14" max="15" width="3" customWidth="1"/>
    <col min="16" max="16" width="19" customWidth="1"/>
    <col min="17" max="17" width="0.25" customWidth="1"/>
    <col min="18" max="19" width="10" customWidth="1"/>
    <col min="20" max="21" width="3" customWidth="1"/>
    <col min="22" max="22" width="25" customWidth="1"/>
    <col min="23" max="23" width="0.25" customWidth="1"/>
    <col min="24" max="25" width="10" customWidth="1"/>
    <col min="26" max="27" width="3" customWidth="1"/>
    <col min="28" max="28" width="16" customWidth="1"/>
    <col min="29" max="29" width="0.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5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6" t="s">
        <v>286</v>
      </c>
      <c r="E4" s="1226"/>
      <c r="F4" s="1226"/>
      <c r="G4" s="1226"/>
      <c r="H4" s="1226"/>
      <c r="I4" s="1226"/>
      <c r="J4" s="1226"/>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7" customHeight="1">
      <c r="A5" s="8"/>
      <c r="B5" s="11"/>
      <c r="C5" s="77"/>
      <c r="D5" s="1247" t="str">
        <f>IF(org=0,"Не определено",org)</f>
        <v>АО "Юграавиа"</v>
      </c>
      <c r="E5" s="1247"/>
      <c r="F5" s="1247"/>
      <c r="G5" s="1247"/>
      <c r="H5" s="1247"/>
      <c r="I5" s="1247"/>
      <c r="J5" s="1247"/>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7"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05"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8" t="s">
        <v>89</v>
      </c>
      <c r="E8" s="1158" t="s">
        <v>106</v>
      </c>
      <c r="F8" s="1228" t="s">
        <v>123</v>
      </c>
      <c r="G8" s="1229"/>
      <c r="H8" s="1228" t="s">
        <v>89</v>
      </c>
      <c r="I8" s="1229"/>
      <c r="J8" s="1158" t="s">
        <v>124</v>
      </c>
      <c r="K8" s="862"/>
      <c r="L8" s="1227" t="s">
        <v>287</v>
      </c>
      <c r="M8" s="1227"/>
      <c r="N8" s="1227"/>
      <c r="O8" s="1227"/>
      <c r="P8" s="1227"/>
      <c r="Q8" s="863"/>
      <c r="R8" s="1140" t="s">
        <v>288</v>
      </c>
      <c r="S8" s="1145"/>
      <c r="T8" s="1145"/>
      <c r="U8" s="1145"/>
      <c r="V8" s="1145"/>
      <c r="W8" s="863"/>
      <c r="X8" s="1158" t="s">
        <v>289</v>
      </c>
      <c r="Y8" s="1158"/>
      <c r="Z8" s="1158"/>
      <c r="AA8" s="1158"/>
      <c r="AB8" s="1158"/>
      <c r="AC8" s="340"/>
      <c r="AD8" s="1158" t="s">
        <v>290</v>
      </c>
      <c r="AE8" s="1158"/>
      <c r="AF8" s="1158"/>
      <c r="AG8" s="1158"/>
      <c r="AH8" s="1140"/>
      <c r="AI8" s="1158" t="s">
        <v>291</v>
      </c>
      <c r="BM8">
        <v>32</v>
      </c>
    </row>
    <row r="9" spans="1:65" ht="23.25" customHeight="1">
      <c r="D9" s="1158"/>
      <c r="E9" s="1158"/>
      <c r="F9" s="1227" t="s">
        <v>90</v>
      </c>
      <c r="G9" s="1227" t="s">
        <v>129</v>
      </c>
      <c r="H9" s="1230"/>
      <c r="I9" s="1231"/>
      <c r="J9" s="1140"/>
      <c r="K9" s="864"/>
      <c r="L9" s="1158" t="s">
        <v>292</v>
      </c>
      <c r="M9" s="1140"/>
      <c r="N9" s="1228" t="s">
        <v>89</v>
      </c>
      <c r="O9" s="1229"/>
      <c r="P9" s="1158" t="s">
        <v>130</v>
      </c>
      <c r="Q9" s="862"/>
      <c r="R9" s="1158" t="s">
        <v>292</v>
      </c>
      <c r="S9" s="1140"/>
      <c r="T9" s="1228" t="s">
        <v>89</v>
      </c>
      <c r="U9" s="1229"/>
      <c r="V9" s="1158" t="s">
        <v>130</v>
      </c>
      <c r="W9" s="862"/>
      <c r="X9" s="1158" t="s">
        <v>292</v>
      </c>
      <c r="Y9" s="1140"/>
      <c r="Z9" s="1228" t="s">
        <v>89</v>
      </c>
      <c r="AA9" s="1229"/>
      <c r="AB9" s="1158" t="s">
        <v>293</v>
      </c>
      <c r="AC9" s="862"/>
      <c r="AD9" s="1158" t="s">
        <v>292</v>
      </c>
      <c r="AE9" s="1140"/>
      <c r="AF9" s="1228" t="s">
        <v>89</v>
      </c>
      <c r="AG9" s="1229"/>
      <c r="AH9" s="1140" t="s">
        <v>293</v>
      </c>
      <c r="AI9" s="1158"/>
      <c r="BM9">
        <v>22</v>
      </c>
    </row>
    <row r="10" spans="1:65" ht="24" customHeight="1">
      <c r="D10" s="1227"/>
      <c r="E10" s="1227"/>
      <c r="F10" s="1232"/>
      <c r="G10" s="1232"/>
      <c r="H10" s="1233"/>
      <c r="I10" s="1234"/>
      <c r="J10" s="1228"/>
      <c r="K10" s="864"/>
      <c r="L10" s="340" t="s">
        <v>294</v>
      </c>
      <c r="M10" s="863" t="s">
        <v>295</v>
      </c>
      <c r="N10" s="1230"/>
      <c r="O10" s="1231"/>
      <c r="P10" s="1227"/>
      <c r="Q10" s="862"/>
      <c r="R10" s="340" t="s">
        <v>294</v>
      </c>
      <c r="S10" s="863" t="s">
        <v>295</v>
      </c>
      <c r="T10" s="1230"/>
      <c r="U10" s="1231"/>
      <c r="V10" s="1227"/>
      <c r="W10" s="862"/>
      <c r="X10" s="340" t="s">
        <v>294</v>
      </c>
      <c r="Y10" s="863" t="s">
        <v>295</v>
      </c>
      <c r="Z10" s="1230"/>
      <c r="AA10" s="1231"/>
      <c r="AB10" s="1227"/>
      <c r="AC10" s="862"/>
      <c r="AD10" s="340" t="s">
        <v>294</v>
      </c>
      <c r="AE10" s="863" t="s">
        <v>295</v>
      </c>
      <c r="AF10" s="1230"/>
      <c r="AG10" s="1231"/>
      <c r="AH10" s="1228"/>
      <c r="AI10" s="1227"/>
      <c r="AK10" s="34" t="s">
        <v>296</v>
      </c>
      <c r="AL10" s="34" t="s">
        <v>131</v>
      </c>
      <c r="BM10">
        <v>23</v>
      </c>
    </row>
    <row r="11" spans="1:65" ht="15" customHeight="1">
      <c r="D11" s="1235" t="s">
        <v>110</v>
      </c>
      <c r="E11" s="1237" t="s">
        <v>297</v>
      </c>
      <c r="F11" s="1237" t="s">
        <v>298</v>
      </c>
      <c r="G11" s="1224" t="s">
        <v>19</v>
      </c>
      <c r="H11" s="885"/>
      <c r="I11" s="1240"/>
      <c r="J11" s="1186"/>
      <c r="K11" s="833"/>
      <c r="L11" s="1178"/>
      <c r="M11" s="1178"/>
      <c r="N11" s="879"/>
      <c r="O11" s="1178"/>
      <c r="P11" s="1186"/>
      <c r="Q11" s="833"/>
      <c r="R11" s="1178"/>
      <c r="S11" s="1178"/>
      <c r="T11" s="880"/>
      <c r="U11" s="1178"/>
      <c r="V11" s="1186"/>
      <c r="W11" s="804"/>
      <c r="X11" s="1178"/>
      <c r="Y11" s="1178"/>
      <c r="Z11" s="879"/>
      <c r="AA11" s="1178"/>
      <c r="AB11" s="1186"/>
      <c r="AC11" s="881"/>
      <c r="AD11" s="1178"/>
      <c r="AE11" s="1178"/>
      <c r="AF11" s="804"/>
      <c r="AG11" s="804"/>
      <c r="AH11" s="879"/>
      <c r="AI11" s="746"/>
      <c r="BM11">
        <v>14</v>
      </c>
    </row>
    <row r="12" spans="1:65" ht="14.7" customHeight="1">
      <c r="D12" s="1235"/>
      <c r="E12" s="1237"/>
      <c r="F12" s="1237"/>
      <c r="G12" s="1225"/>
      <c r="H12" s="886"/>
      <c r="I12" s="1241"/>
      <c r="J12" s="1187"/>
      <c r="K12" s="342"/>
      <c r="L12" s="1179"/>
      <c r="M12" s="1179"/>
      <c r="N12" s="33"/>
      <c r="O12" s="1179"/>
      <c r="P12" s="1187"/>
      <c r="Q12" s="383"/>
      <c r="R12" s="1179"/>
      <c r="S12" s="1179"/>
      <c r="T12" s="882"/>
      <c r="U12" s="1179"/>
      <c r="V12" s="1187"/>
      <c r="W12" s="55"/>
      <c r="X12" s="1179"/>
      <c r="Y12" s="1179"/>
      <c r="Z12" s="33"/>
      <c r="AA12" s="1179"/>
      <c r="AB12" s="1187"/>
      <c r="AC12" s="342"/>
      <c r="AD12" s="1179"/>
      <c r="AE12" s="1179"/>
      <c r="AF12" s="747"/>
      <c r="AG12" s="747"/>
      <c r="AH12" s="1244"/>
      <c r="AI12" s="1245"/>
      <c r="BM12">
        <v>14</v>
      </c>
    </row>
    <row r="13" spans="1:65" ht="14.7" customHeight="1">
      <c r="D13" s="1235"/>
      <c r="E13" s="1237"/>
      <c r="F13" s="1237"/>
      <c r="G13" s="1225"/>
      <c r="H13" s="886"/>
      <c r="I13" s="1241"/>
      <c r="J13" s="1187"/>
      <c r="K13" s="342"/>
      <c r="L13" s="1179"/>
      <c r="M13" s="1179"/>
      <c r="N13" s="33"/>
      <c r="O13" s="1179"/>
      <c r="P13" s="1187"/>
      <c r="Q13" s="383"/>
      <c r="R13" s="1179"/>
      <c r="S13" s="1179"/>
      <c r="T13" s="882"/>
      <c r="U13" s="1179"/>
      <c r="V13" s="1187"/>
      <c r="W13" s="55"/>
      <c r="X13" s="1179"/>
      <c r="Y13" s="1179"/>
      <c r="Z13" s="55"/>
      <c r="AA13" s="747"/>
      <c r="AB13" s="1244"/>
      <c r="AC13" s="1244"/>
      <c r="AD13" s="1244"/>
      <c r="AE13" s="1244"/>
      <c r="AF13" s="1244"/>
      <c r="AG13" s="1244"/>
      <c r="AH13" s="1244"/>
      <c r="AI13" s="1245"/>
      <c r="BM13">
        <v>14</v>
      </c>
    </row>
    <row r="14" spans="1:65" ht="14.7" customHeight="1">
      <c r="D14" s="1235"/>
      <c r="E14" s="1237"/>
      <c r="F14" s="1237"/>
      <c r="G14" s="1225"/>
      <c r="H14" s="886"/>
      <c r="I14" s="1241"/>
      <c r="J14" s="1187"/>
      <c r="K14" s="342"/>
      <c r="L14" s="1179"/>
      <c r="M14" s="1179"/>
      <c r="N14" s="33"/>
      <c r="O14" s="1179"/>
      <c r="P14" s="1187"/>
      <c r="Q14" s="383"/>
      <c r="R14" s="1179"/>
      <c r="S14" s="1179"/>
      <c r="T14" s="50"/>
      <c r="U14" s="883"/>
      <c r="V14" s="1244"/>
      <c r="W14" s="1244"/>
      <c r="X14" s="1244"/>
      <c r="Y14" s="1244"/>
      <c r="Z14" s="1244"/>
      <c r="AA14" s="1244"/>
      <c r="AB14" s="1244"/>
      <c r="AC14" s="1244"/>
      <c r="AD14" s="1244"/>
      <c r="AE14" s="1244"/>
      <c r="AF14" s="1244"/>
      <c r="AG14" s="1244"/>
      <c r="AH14" s="1244"/>
      <c r="AI14" s="1245"/>
      <c r="BM14">
        <v>14</v>
      </c>
    </row>
    <row r="15" spans="1:65" ht="11.55" customHeight="1">
      <c r="D15" s="1235"/>
      <c r="E15" s="1237"/>
      <c r="F15" s="1237"/>
      <c r="G15" s="1225"/>
      <c r="H15" s="887"/>
      <c r="I15" s="1241"/>
      <c r="J15" s="1187"/>
      <c r="K15" s="342"/>
      <c r="L15" s="1179"/>
      <c r="M15" s="1179"/>
      <c r="N15" s="747"/>
      <c r="O15" s="747"/>
      <c r="P15" s="1244"/>
      <c r="Q15" s="1244"/>
      <c r="R15" s="1244"/>
      <c r="S15" s="1244"/>
      <c r="T15" s="1244"/>
      <c r="U15" s="1244"/>
      <c r="V15" s="1244"/>
      <c r="W15" s="1244"/>
      <c r="X15" s="1244"/>
      <c r="Y15" s="1244"/>
      <c r="Z15" s="1244"/>
      <c r="AA15" s="1244"/>
      <c r="AB15" s="1244"/>
      <c r="AC15" s="1244"/>
      <c r="AD15" s="1244"/>
      <c r="AE15" s="1244"/>
      <c r="AF15" s="1244"/>
      <c r="AG15" s="1244"/>
      <c r="AH15" s="1244"/>
      <c r="AI15" s="1245"/>
      <c r="BM15">
        <v>11</v>
      </c>
    </row>
    <row r="16" spans="1:65" s="860" customFormat="1" ht="11.55" customHeight="1">
      <c r="D16" s="1236"/>
      <c r="E16" s="1238"/>
      <c r="F16" s="1239"/>
      <c r="G16" s="1173"/>
      <c r="H16" s="884"/>
      <c r="I16" s="888"/>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3"/>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5" t="s">
        <v>111</v>
      </c>
      <c r="E17" s="1237" t="s">
        <v>297</v>
      </c>
      <c r="F17" s="1237" t="s">
        <v>299</v>
      </c>
      <c r="G17" s="1224" t="s">
        <v>19</v>
      </c>
      <c r="H17" s="885"/>
      <c r="I17" s="1240"/>
      <c r="J17" s="1186"/>
      <c r="K17" s="833"/>
      <c r="L17" s="1178"/>
      <c r="M17" s="1178"/>
      <c r="N17" s="879"/>
      <c r="O17" s="1178"/>
      <c r="P17" s="1186"/>
      <c r="Q17" s="833"/>
      <c r="R17" s="1178"/>
      <c r="S17" s="1178"/>
      <c r="T17" s="880"/>
      <c r="U17" s="1178"/>
      <c r="V17" s="1186"/>
      <c r="W17" s="804"/>
      <c r="X17" s="1178"/>
      <c r="Y17" s="1178"/>
      <c r="Z17" s="879"/>
      <c r="AA17" s="1178"/>
      <c r="AB17" s="1186"/>
      <c r="AC17" s="881"/>
      <c r="AD17" s="1178"/>
      <c r="AE17" s="1178"/>
      <c r="AF17" s="804"/>
      <c r="AG17" s="804"/>
      <c r="AH17" s="879"/>
      <c r="AI17" s="746"/>
      <c r="BM17">
        <v>14</v>
      </c>
    </row>
    <row r="18" spans="4:65" ht="14.7" customHeight="1">
      <c r="D18" s="1235"/>
      <c r="E18" s="1237"/>
      <c r="F18" s="1237"/>
      <c r="G18" s="1225"/>
      <c r="H18" s="886"/>
      <c r="I18" s="1241"/>
      <c r="J18" s="1187"/>
      <c r="K18" s="342"/>
      <c r="L18" s="1179"/>
      <c r="M18" s="1179"/>
      <c r="N18" s="33"/>
      <c r="O18" s="1179"/>
      <c r="P18" s="1187"/>
      <c r="Q18" s="383"/>
      <c r="R18" s="1179"/>
      <c r="S18" s="1179"/>
      <c r="T18" s="882"/>
      <c r="U18" s="1179"/>
      <c r="V18" s="1187"/>
      <c r="W18" s="55"/>
      <c r="X18" s="1179"/>
      <c r="Y18" s="1179"/>
      <c r="Z18" s="33"/>
      <c r="AA18" s="1179"/>
      <c r="AB18" s="1187"/>
      <c r="AC18" s="342"/>
      <c r="AD18" s="1179"/>
      <c r="AE18" s="1179"/>
      <c r="AF18" s="747"/>
      <c r="AG18" s="747"/>
      <c r="AH18" s="1244"/>
      <c r="AI18" s="1245"/>
      <c r="BM18">
        <v>14</v>
      </c>
    </row>
    <row r="19" spans="4:65" ht="14.7" customHeight="1">
      <c r="D19" s="1235"/>
      <c r="E19" s="1237"/>
      <c r="F19" s="1237"/>
      <c r="G19" s="1225"/>
      <c r="H19" s="886"/>
      <c r="I19" s="1241"/>
      <c r="J19" s="1187"/>
      <c r="K19" s="342"/>
      <c r="L19" s="1179"/>
      <c r="M19" s="1179"/>
      <c r="N19" s="33"/>
      <c r="O19" s="1179"/>
      <c r="P19" s="1187"/>
      <c r="Q19" s="383"/>
      <c r="R19" s="1179"/>
      <c r="S19" s="1179"/>
      <c r="T19" s="882"/>
      <c r="U19" s="1179"/>
      <c r="V19" s="1187"/>
      <c r="W19" s="55"/>
      <c r="X19" s="1179"/>
      <c r="Y19" s="1179"/>
      <c r="Z19" s="55"/>
      <c r="AA19" s="747"/>
      <c r="AB19" s="1244"/>
      <c r="AC19" s="1244"/>
      <c r="AD19" s="1244"/>
      <c r="AE19" s="1244"/>
      <c r="AF19" s="1244"/>
      <c r="AG19" s="1244"/>
      <c r="AH19" s="1244"/>
      <c r="AI19" s="1245"/>
      <c r="BM19">
        <v>14</v>
      </c>
    </row>
    <row r="20" spans="4:65" ht="14.7" customHeight="1">
      <c r="D20" s="1235"/>
      <c r="E20" s="1237"/>
      <c r="F20" s="1237"/>
      <c r="G20" s="1225"/>
      <c r="H20" s="886"/>
      <c r="I20" s="1241"/>
      <c r="J20" s="1187"/>
      <c r="K20" s="342"/>
      <c r="L20" s="1179"/>
      <c r="M20" s="1179"/>
      <c r="N20" s="33"/>
      <c r="O20" s="1179"/>
      <c r="P20" s="1187"/>
      <c r="Q20" s="383"/>
      <c r="R20" s="1179"/>
      <c r="S20" s="1179"/>
      <c r="T20" s="50"/>
      <c r="U20" s="883"/>
      <c r="V20" s="1244"/>
      <c r="W20" s="1244"/>
      <c r="X20" s="1244"/>
      <c r="Y20" s="1244"/>
      <c r="Z20" s="1244"/>
      <c r="AA20" s="1244"/>
      <c r="AB20" s="1244"/>
      <c r="AC20" s="1244"/>
      <c r="AD20" s="1244"/>
      <c r="AE20" s="1244"/>
      <c r="AF20" s="1244"/>
      <c r="AG20" s="1244"/>
      <c r="AH20" s="1244"/>
      <c r="AI20" s="1245"/>
      <c r="BM20">
        <v>14</v>
      </c>
    </row>
    <row r="21" spans="4:65" ht="11.55" customHeight="1">
      <c r="D21" s="1235"/>
      <c r="E21" s="1237"/>
      <c r="F21" s="1237"/>
      <c r="G21" s="1225"/>
      <c r="H21" s="887"/>
      <c r="I21" s="1241"/>
      <c r="J21" s="1187"/>
      <c r="K21" s="342"/>
      <c r="L21" s="1179"/>
      <c r="M21" s="1179"/>
      <c r="N21" s="747"/>
      <c r="O21" s="747"/>
      <c r="P21" s="1244"/>
      <c r="Q21" s="1244"/>
      <c r="R21" s="1244"/>
      <c r="S21" s="1244"/>
      <c r="T21" s="1244"/>
      <c r="U21" s="1244"/>
      <c r="V21" s="1244"/>
      <c r="W21" s="1244"/>
      <c r="X21" s="1244"/>
      <c r="Y21" s="1244"/>
      <c r="Z21" s="1244"/>
      <c r="AA21" s="1244"/>
      <c r="AB21" s="1244"/>
      <c r="AC21" s="1244"/>
      <c r="AD21" s="1244"/>
      <c r="AE21" s="1244"/>
      <c r="AF21" s="1244"/>
      <c r="AG21" s="1244"/>
      <c r="AH21" s="1244"/>
      <c r="AI21" s="1245"/>
      <c r="BM21">
        <v>11</v>
      </c>
    </row>
    <row r="22" spans="4:65" s="860" customFormat="1" ht="11.55" customHeight="1">
      <c r="D22" s="1236"/>
      <c r="E22" s="1238"/>
      <c r="F22" s="1239"/>
      <c r="G22" s="1173"/>
      <c r="H22" s="884"/>
      <c r="I22" s="888"/>
      <c r="J22" s="1242"/>
      <c r="K22" s="1242"/>
      <c r="L22" s="1242"/>
      <c r="M22" s="1242"/>
      <c r="N22" s="1242"/>
      <c r="O22" s="1242"/>
      <c r="P22" s="1242"/>
      <c r="Q22" s="1242"/>
      <c r="R22" s="1242"/>
      <c r="S22" s="1242"/>
      <c r="T22" s="1242"/>
      <c r="U22" s="1242"/>
      <c r="V22" s="1242"/>
      <c r="W22" s="1242"/>
      <c r="X22" s="1242"/>
      <c r="Y22" s="1242"/>
      <c r="Z22" s="1242"/>
      <c r="AA22" s="1242"/>
      <c r="AB22" s="1242"/>
      <c r="AC22" s="1242"/>
      <c r="AD22" s="1242"/>
      <c r="AE22" s="1242"/>
      <c r="AF22" s="1242"/>
      <c r="AG22" s="1242"/>
      <c r="AH22" s="1242"/>
      <c r="AI22" s="1243"/>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5" t="s">
        <v>91</v>
      </c>
      <c r="E23" s="1237" t="s">
        <v>297</v>
      </c>
      <c r="F23" s="1237" t="s">
        <v>300</v>
      </c>
      <c r="G23" s="1224" t="s">
        <v>19</v>
      </c>
      <c r="H23" s="885"/>
      <c r="I23" s="1240"/>
      <c r="J23" s="1186"/>
      <c r="K23" s="833"/>
      <c r="L23" s="1178"/>
      <c r="M23" s="1178"/>
      <c r="N23" s="879"/>
      <c r="O23" s="1178"/>
      <c r="P23" s="1186"/>
      <c r="Q23" s="833"/>
      <c r="R23" s="1178"/>
      <c r="S23" s="1178"/>
      <c r="T23" s="880"/>
      <c r="U23" s="1178"/>
      <c r="V23" s="1186"/>
      <c r="W23" s="804"/>
      <c r="X23" s="1178"/>
      <c r="Y23" s="1178"/>
      <c r="Z23" s="879"/>
      <c r="AA23" s="1178"/>
      <c r="AB23" s="1186"/>
      <c r="AC23" s="881"/>
      <c r="AD23" s="1178"/>
      <c r="AE23" s="1178"/>
      <c r="AF23" s="804"/>
      <c r="AG23" s="804"/>
      <c r="AH23" s="879"/>
      <c r="AI23" s="746"/>
      <c r="AK23" s="46" t="s">
        <v>99</v>
      </c>
      <c r="BM23">
        <v>14</v>
      </c>
    </row>
    <row r="24" spans="4:65" ht="14.7" customHeight="1">
      <c r="D24" s="1235"/>
      <c r="E24" s="1237"/>
      <c r="F24" s="1237"/>
      <c r="G24" s="1225"/>
      <c r="H24" s="886"/>
      <c r="I24" s="1241"/>
      <c r="J24" s="1187"/>
      <c r="K24" s="342"/>
      <c r="L24" s="1179"/>
      <c r="M24" s="1179"/>
      <c r="N24" s="33"/>
      <c r="O24" s="1179"/>
      <c r="P24" s="1187"/>
      <c r="Q24" s="383"/>
      <c r="R24" s="1179"/>
      <c r="S24" s="1179"/>
      <c r="T24" s="882"/>
      <c r="U24" s="1179"/>
      <c r="V24" s="1187"/>
      <c r="W24" s="55"/>
      <c r="X24" s="1179"/>
      <c r="Y24" s="1179"/>
      <c r="Z24" s="33"/>
      <c r="AA24" s="1179"/>
      <c r="AB24" s="1187"/>
      <c r="AC24" s="342"/>
      <c r="AD24" s="1179"/>
      <c r="AE24" s="1179"/>
      <c r="AF24" s="747"/>
      <c r="AG24" s="747"/>
      <c r="AH24" s="1244"/>
      <c r="AI24" s="1245"/>
      <c r="BM24">
        <v>14</v>
      </c>
    </row>
    <row r="25" spans="4:65" ht="14.7" customHeight="1">
      <c r="D25" s="1235"/>
      <c r="E25" s="1237"/>
      <c r="F25" s="1237"/>
      <c r="G25" s="1225"/>
      <c r="H25" s="886"/>
      <c r="I25" s="1241"/>
      <c r="J25" s="1187"/>
      <c r="K25" s="342"/>
      <c r="L25" s="1179"/>
      <c r="M25" s="1179"/>
      <c r="N25" s="33"/>
      <c r="O25" s="1179"/>
      <c r="P25" s="1187"/>
      <c r="Q25" s="383"/>
      <c r="R25" s="1179"/>
      <c r="S25" s="1179"/>
      <c r="T25" s="882"/>
      <c r="U25" s="1179"/>
      <c r="V25" s="1187"/>
      <c r="W25" s="55"/>
      <c r="X25" s="1179"/>
      <c r="Y25" s="1179"/>
      <c r="Z25" s="55"/>
      <c r="AA25" s="747"/>
      <c r="AB25" s="1244"/>
      <c r="AC25" s="1244"/>
      <c r="AD25" s="1244"/>
      <c r="AE25" s="1244"/>
      <c r="AF25" s="1244"/>
      <c r="AG25" s="1244"/>
      <c r="AH25" s="1244"/>
      <c r="AI25" s="1245"/>
      <c r="BM25">
        <v>14</v>
      </c>
    </row>
    <row r="26" spans="4:65" ht="14.7" customHeight="1">
      <c r="D26" s="1235"/>
      <c r="E26" s="1237"/>
      <c r="F26" s="1237"/>
      <c r="G26" s="1225"/>
      <c r="H26" s="886"/>
      <c r="I26" s="1241"/>
      <c r="J26" s="1187"/>
      <c r="K26" s="342"/>
      <c r="L26" s="1179"/>
      <c r="M26" s="1179"/>
      <c r="N26" s="33"/>
      <c r="O26" s="1179"/>
      <c r="P26" s="1187"/>
      <c r="Q26" s="383"/>
      <c r="R26" s="1179"/>
      <c r="S26" s="1179"/>
      <c r="T26" s="50"/>
      <c r="U26" s="883"/>
      <c r="V26" s="1244"/>
      <c r="W26" s="1244"/>
      <c r="X26" s="1244"/>
      <c r="Y26" s="1244"/>
      <c r="Z26" s="1244"/>
      <c r="AA26" s="1244"/>
      <c r="AB26" s="1244"/>
      <c r="AC26" s="1244"/>
      <c r="AD26" s="1244"/>
      <c r="AE26" s="1244"/>
      <c r="AF26" s="1244"/>
      <c r="AG26" s="1244"/>
      <c r="AH26" s="1244"/>
      <c r="AI26" s="1245"/>
      <c r="BM26">
        <v>14</v>
      </c>
    </row>
    <row r="27" spans="4:65" ht="11.55" customHeight="1">
      <c r="D27" s="1235"/>
      <c r="E27" s="1237"/>
      <c r="F27" s="1237"/>
      <c r="G27" s="1225"/>
      <c r="H27" s="887"/>
      <c r="I27" s="1241"/>
      <c r="J27" s="1187"/>
      <c r="K27" s="342"/>
      <c r="L27" s="1179"/>
      <c r="M27" s="1179"/>
      <c r="N27" s="747"/>
      <c r="O27" s="747"/>
      <c r="P27" s="1244"/>
      <c r="Q27" s="1244"/>
      <c r="R27" s="1244"/>
      <c r="S27" s="1244"/>
      <c r="T27" s="1244"/>
      <c r="U27" s="1244"/>
      <c r="V27" s="1244"/>
      <c r="W27" s="1244"/>
      <c r="X27" s="1244"/>
      <c r="Y27" s="1244"/>
      <c r="Z27" s="1244"/>
      <c r="AA27" s="1244"/>
      <c r="AB27" s="1244"/>
      <c r="AC27" s="1244"/>
      <c r="AD27" s="1244"/>
      <c r="AE27" s="1244"/>
      <c r="AF27" s="1244"/>
      <c r="AG27" s="1244"/>
      <c r="AH27" s="1244"/>
      <c r="AI27" s="1245"/>
      <c r="BM27">
        <v>11</v>
      </c>
    </row>
    <row r="28" spans="4:65" s="860" customFormat="1" ht="11.55" customHeight="1">
      <c r="D28" s="1236"/>
      <c r="E28" s="1238"/>
      <c r="F28" s="1239"/>
      <c r="G28" s="1173"/>
      <c r="H28" s="884"/>
      <c r="I28" s="888"/>
      <c r="J28" s="1242"/>
      <c r="K28" s="1242"/>
      <c r="L28" s="1242"/>
      <c r="M28" s="1242"/>
      <c r="N28" s="1242"/>
      <c r="O28" s="1242"/>
      <c r="P28" s="1242"/>
      <c r="Q28" s="1242"/>
      <c r="R28" s="1242"/>
      <c r="S28" s="1242"/>
      <c r="T28" s="1242"/>
      <c r="U28" s="1242"/>
      <c r="V28" s="1242"/>
      <c r="W28" s="1242"/>
      <c r="X28" s="1242"/>
      <c r="Y28" s="1242"/>
      <c r="Z28" s="1242"/>
      <c r="AA28" s="1242"/>
      <c r="AB28" s="1242"/>
      <c r="AC28" s="1242"/>
      <c r="AD28" s="1242"/>
      <c r="AE28" s="1242"/>
      <c r="AF28" s="1242"/>
      <c r="AG28" s="1242"/>
      <c r="AH28" s="1242"/>
      <c r="AI28" s="1243"/>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5" t="s">
        <v>92</v>
      </c>
      <c r="E29" s="1237" t="s">
        <v>297</v>
      </c>
      <c r="F29" s="1237" t="s">
        <v>301</v>
      </c>
      <c r="G29" s="1224" t="s">
        <v>19</v>
      </c>
      <c r="H29" s="885"/>
      <c r="I29" s="1240"/>
      <c r="J29" s="1186"/>
      <c r="K29" s="833"/>
      <c r="L29" s="1178"/>
      <c r="M29" s="1178"/>
      <c r="N29" s="879"/>
      <c r="O29" s="1178"/>
      <c r="P29" s="1186"/>
      <c r="Q29" s="833"/>
      <c r="R29" s="1178"/>
      <c r="S29" s="1178"/>
      <c r="T29" s="880"/>
      <c r="U29" s="1178"/>
      <c r="V29" s="1186"/>
      <c r="W29" s="804"/>
      <c r="X29" s="1178"/>
      <c r="Y29" s="1178"/>
      <c r="Z29" s="879"/>
      <c r="AA29" s="1178"/>
      <c r="AB29" s="1186"/>
      <c r="AC29" s="881"/>
      <c r="AD29" s="1178"/>
      <c r="AE29" s="1178"/>
      <c r="AF29" s="804"/>
      <c r="AG29" s="804"/>
      <c r="AH29" s="879"/>
      <c r="AI29" s="746"/>
      <c r="BM29">
        <v>14</v>
      </c>
    </row>
    <row r="30" spans="4:65" ht="14.7" customHeight="1">
      <c r="D30" s="1235"/>
      <c r="E30" s="1237"/>
      <c r="F30" s="1237"/>
      <c r="G30" s="1225"/>
      <c r="H30" s="886"/>
      <c r="I30" s="1241"/>
      <c r="J30" s="1187"/>
      <c r="K30" s="342"/>
      <c r="L30" s="1179"/>
      <c r="M30" s="1179"/>
      <c r="N30" s="33"/>
      <c r="O30" s="1179"/>
      <c r="P30" s="1187"/>
      <c r="Q30" s="383"/>
      <c r="R30" s="1179"/>
      <c r="S30" s="1179"/>
      <c r="T30" s="882"/>
      <c r="U30" s="1179"/>
      <c r="V30" s="1187"/>
      <c r="W30" s="55"/>
      <c r="X30" s="1179"/>
      <c r="Y30" s="1179"/>
      <c r="Z30" s="33"/>
      <c r="AA30" s="1179"/>
      <c r="AB30" s="1187"/>
      <c r="AC30" s="342"/>
      <c r="AD30" s="1179"/>
      <c r="AE30" s="1179"/>
      <c r="AF30" s="747"/>
      <c r="AG30" s="747"/>
      <c r="AH30" s="1244"/>
      <c r="AI30" s="1245"/>
      <c r="BM30">
        <v>14</v>
      </c>
    </row>
    <row r="31" spans="4:65" ht="14.7" customHeight="1">
      <c r="D31" s="1235"/>
      <c r="E31" s="1237"/>
      <c r="F31" s="1237"/>
      <c r="G31" s="1225"/>
      <c r="H31" s="886"/>
      <c r="I31" s="1241"/>
      <c r="J31" s="1187"/>
      <c r="K31" s="342"/>
      <c r="L31" s="1179"/>
      <c r="M31" s="1179"/>
      <c r="N31" s="33"/>
      <c r="O31" s="1179"/>
      <c r="P31" s="1187"/>
      <c r="Q31" s="383"/>
      <c r="R31" s="1179"/>
      <c r="S31" s="1179"/>
      <c r="T31" s="882"/>
      <c r="U31" s="1179"/>
      <c r="V31" s="1187"/>
      <c r="W31" s="55"/>
      <c r="X31" s="1179"/>
      <c r="Y31" s="1179"/>
      <c r="Z31" s="55"/>
      <c r="AA31" s="747"/>
      <c r="AB31" s="1244"/>
      <c r="AC31" s="1244"/>
      <c r="AD31" s="1244"/>
      <c r="AE31" s="1244"/>
      <c r="AF31" s="1244"/>
      <c r="AG31" s="1244"/>
      <c r="AH31" s="1244"/>
      <c r="AI31" s="1245"/>
      <c r="BM31">
        <v>14</v>
      </c>
    </row>
    <row r="32" spans="4:65" ht="14.7" customHeight="1">
      <c r="D32" s="1235"/>
      <c r="E32" s="1237"/>
      <c r="F32" s="1237"/>
      <c r="G32" s="1225"/>
      <c r="H32" s="886"/>
      <c r="I32" s="1241"/>
      <c r="J32" s="1187"/>
      <c r="K32" s="342"/>
      <c r="L32" s="1179"/>
      <c r="M32" s="1179"/>
      <c r="N32" s="33"/>
      <c r="O32" s="1179"/>
      <c r="P32" s="1187"/>
      <c r="Q32" s="383"/>
      <c r="R32" s="1179"/>
      <c r="S32" s="1179"/>
      <c r="T32" s="50"/>
      <c r="U32" s="883"/>
      <c r="V32" s="1244"/>
      <c r="W32" s="1244"/>
      <c r="X32" s="1244"/>
      <c r="Y32" s="1244"/>
      <c r="Z32" s="1244"/>
      <c r="AA32" s="1244"/>
      <c r="AB32" s="1244"/>
      <c r="AC32" s="1244"/>
      <c r="AD32" s="1244"/>
      <c r="AE32" s="1244"/>
      <c r="AF32" s="1244"/>
      <c r="AG32" s="1244"/>
      <c r="AH32" s="1244"/>
      <c r="AI32" s="1245"/>
      <c r="BM32">
        <v>14</v>
      </c>
    </row>
    <row r="33" spans="4:65" ht="11.55" customHeight="1">
      <c r="D33" s="1235"/>
      <c r="E33" s="1237"/>
      <c r="F33" s="1237"/>
      <c r="G33" s="1225"/>
      <c r="H33" s="887"/>
      <c r="I33" s="1241"/>
      <c r="J33" s="1187"/>
      <c r="K33" s="342"/>
      <c r="L33" s="1179"/>
      <c r="M33" s="1179"/>
      <c r="N33" s="747"/>
      <c r="O33" s="747"/>
      <c r="P33" s="1244"/>
      <c r="Q33" s="1244"/>
      <c r="R33" s="1244"/>
      <c r="S33" s="1244"/>
      <c r="T33" s="1244"/>
      <c r="U33" s="1244"/>
      <c r="V33" s="1244"/>
      <c r="W33" s="1244"/>
      <c r="X33" s="1244"/>
      <c r="Y33" s="1244"/>
      <c r="Z33" s="1244"/>
      <c r="AA33" s="1244"/>
      <c r="AB33" s="1244"/>
      <c r="AC33" s="1244"/>
      <c r="AD33" s="1244"/>
      <c r="AE33" s="1244"/>
      <c r="AF33" s="1244"/>
      <c r="AG33" s="1244"/>
      <c r="AH33" s="1244"/>
      <c r="AI33" s="1245"/>
      <c r="BM33">
        <v>11</v>
      </c>
    </row>
    <row r="34" spans="4:65" s="860" customFormat="1" ht="11.55" customHeight="1">
      <c r="D34" s="1236"/>
      <c r="E34" s="1238"/>
      <c r="F34" s="1239"/>
      <c r="G34" s="1173"/>
      <c r="H34" s="884"/>
      <c r="I34" s="888"/>
      <c r="J34" s="1242"/>
      <c r="K34" s="1242"/>
      <c r="L34" s="1242"/>
      <c r="M34" s="1242"/>
      <c r="N34" s="1242"/>
      <c r="O34" s="1242"/>
      <c r="P34" s="1242"/>
      <c r="Q34" s="1242"/>
      <c r="R34" s="1242"/>
      <c r="S34" s="1242"/>
      <c r="T34" s="1242"/>
      <c r="U34" s="1242"/>
      <c r="V34" s="1242"/>
      <c r="W34" s="1242"/>
      <c r="X34" s="1242"/>
      <c r="Y34" s="1242"/>
      <c r="Z34" s="1242"/>
      <c r="AA34" s="1242"/>
      <c r="AB34" s="1242"/>
      <c r="AC34" s="1242"/>
      <c r="AD34" s="1242"/>
      <c r="AE34" s="1242"/>
      <c r="AF34" s="1242"/>
      <c r="AG34" s="1242"/>
      <c r="AH34" s="1242"/>
      <c r="AI34" s="1243"/>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5" t="s">
        <v>112</v>
      </c>
      <c r="E35" s="1237" t="s">
        <v>297</v>
      </c>
      <c r="F35" s="1237" t="s">
        <v>302</v>
      </c>
      <c r="G35" s="1224" t="s">
        <v>19</v>
      </c>
      <c r="H35" s="885"/>
      <c r="I35" s="1240"/>
      <c r="J35" s="1186"/>
      <c r="K35" s="833"/>
      <c r="L35" s="1178"/>
      <c r="M35" s="1178"/>
      <c r="N35" s="879"/>
      <c r="O35" s="1178"/>
      <c r="P35" s="1186"/>
      <c r="Q35" s="833"/>
      <c r="R35" s="1178"/>
      <c r="S35" s="1178"/>
      <c r="T35" s="880"/>
      <c r="U35" s="1178"/>
      <c r="V35" s="1186"/>
      <c r="W35" s="804"/>
      <c r="X35" s="1178"/>
      <c r="Y35" s="1178"/>
      <c r="Z35" s="879"/>
      <c r="AA35" s="1178"/>
      <c r="AB35" s="1186"/>
      <c r="AC35" s="881"/>
      <c r="AD35" s="1178"/>
      <c r="AE35" s="1178"/>
      <c r="AF35" s="804"/>
      <c r="AG35" s="804"/>
      <c r="AH35" s="879"/>
      <c r="AI35" s="746"/>
      <c r="BM35">
        <v>14</v>
      </c>
    </row>
    <row r="36" spans="4:65" ht="14.7" customHeight="1">
      <c r="D36" s="1235"/>
      <c r="E36" s="1237"/>
      <c r="F36" s="1237"/>
      <c r="G36" s="1225"/>
      <c r="H36" s="886"/>
      <c r="I36" s="1241"/>
      <c r="J36" s="1187"/>
      <c r="K36" s="342"/>
      <c r="L36" s="1179"/>
      <c r="M36" s="1179"/>
      <c r="N36" s="33"/>
      <c r="O36" s="1179"/>
      <c r="P36" s="1187"/>
      <c r="Q36" s="383"/>
      <c r="R36" s="1179"/>
      <c r="S36" s="1179"/>
      <c r="T36" s="882"/>
      <c r="U36" s="1179"/>
      <c r="V36" s="1187"/>
      <c r="W36" s="55"/>
      <c r="X36" s="1179"/>
      <c r="Y36" s="1179"/>
      <c r="Z36" s="33"/>
      <c r="AA36" s="1179"/>
      <c r="AB36" s="1187"/>
      <c r="AC36" s="342"/>
      <c r="AD36" s="1179"/>
      <c r="AE36" s="1179"/>
      <c r="AF36" s="747"/>
      <c r="AG36" s="747"/>
      <c r="AH36" s="1244"/>
      <c r="AI36" s="1245"/>
      <c r="BM36">
        <v>14</v>
      </c>
    </row>
    <row r="37" spans="4:65" ht="14.7" customHeight="1">
      <c r="D37" s="1235"/>
      <c r="E37" s="1237"/>
      <c r="F37" s="1237"/>
      <c r="G37" s="1225"/>
      <c r="H37" s="886"/>
      <c r="I37" s="1241"/>
      <c r="J37" s="1187"/>
      <c r="K37" s="342"/>
      <c r="L37" s="1179"/>
      <c r="M37" s="1179"/>
      <c r="N37" s="33"/>
      <c r="O37" s="1179"/>
      <c r="P37" s="1187"/>
      <c r="Q37" s="383"/>
      <c r="R37" s="1179"/>
      <c r="S37" s="1179"/>
      <c r="T37" s="882"/>
      <c r="U37" s="1179"/>
      <c r="V37" s="1187"/>
      <c r="W37" s="55"/>
      <c r="X37" s="1179"/>
      <c r="Y37" s="1179"/>
      <c r="Z37" s="55"/>
      <c r="AA37" s="747"/>
      <c r="AB37" s="1244"/>
      <c r="AC37" s="1244"/>
      <c r="AD37" s="1244"/>
      <c r="AE37" s="1244"/>
      <c r="AF37" s="1244"/>
      <c r="AG37" s="1244"/>
      <c r="AH37" s="1244"/>
      <c r="AI37" s="1245"/>
      <c r="BM37">
        <v>14</v>
      </c>
    </row>
    <row r="38" spans="4:65" ht="14.7" customHeight="1">
      <c r="D38" s="1235"/>
      <c r="E38" s="1237"/>
      <c r="F38" s="1237"/>
      <c r="G38" s="1225"/>
      <c r="H38" s="886"/>
      <c r="I38" s="1241"/>
      <c r="J38" s="1187"/>
      <c r="K38" s="342"/>
      <c r="L38" s="1179"/>
      <c r="M38" s="1179"/>
      <c r="N38" s="33"/>
      <c r="O38" s="1179"/>
      <c r="P38" s="1187"/>
      <c r="Q38" s="383"/>
      <c r="R38" s="1179"/>
      <c r="S38" s="1179"/>
      <c r="T38" s="50"/>
      <c r="U38" s="883"/>
      <c r="V38" s="1244"/>
      <c r="W38" s="1244"/>
      <c r="X38" s="1244"/>
      <c r="Y38" s="1244"/>
      <c r="Z38" s="1244"/>
      <c r="AA38" s="1244"/>
      <c r="AB38" s="1244"/>
      <c r="AC38" s="1244"/>
      <c r="AD38" s="1244"/>
      <c r="AE38" s="1244"/>
      <c r="AF38" s="1244"/>
      <c r="AG38" s="1244"/>
      <c r="AH38" s="1244"/>
      <c r="AI38" s="1245"/>
      <c r="BM38">
        <v>14</v>
      </c>
    </row>
    <row r="39" spans="4:65" ht="11.55" customHeight="1">
      <c r="D39" s="1235"/>
      <c r="E39" s="1237"/>
      <c r="F39" s="1237"/>
      <c r="G39" s="1225"/>
      <c r="H39" s="887"/>
      <c r="I39" s="1241"/>
      <c r="J39" s="1187"/>
      <c r="K39" s="342"/>
      <c r="L39" s="1179"/>
      <c r="M39" s="1179"/>
      <c r="N39" s="747"/>
      <c r="O39" s="747"/>
      <c r="P39" s="1244"/>
      <c r="Q39" s="1244"/>
      <c r="R39" s="1244"/>
      <c r="S39" s="1244"/>
      <c r="T39" s="1244"/>
      <c r="U39" s="1244"/>
      <c r="V39" s="1244"/>
      <c r="W39" s="1244"/>
      <c r="X39" s="1244"/>
      <c r="Y39" s="1244"/>
      <c r="Z39" s="1244"/>
      <c r="AA39" s="1244"/>
      <c r="AB39" s="1244"/>
      <c r="AC39" s="1244"/>
      <c r="AD39" s="1244"/>
      <c r="AE39" s="1244"/>
      <c r="AF39" s="1244"/>
      <c r="AG39" s="1244"/>
      <c r="AH39" s="1244"/>
      <c r="AI39" s="1245"/>
      <c r="BM39">
        <v>11</v>
      </c>
    </row>
    <row r="40" spans="4:65" s="860" customFormat="1" ht="11.55" customHeight="1">
      <c r="D40" s="1235"/>
      <c r="E40" s="1237"/>
      <c r="F40" s="1246"/>
      <c r="G40" s="1173"/>
      <c r="H40" s="884"/>
      <c r="I40" s="888"/>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1243"/>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55" customHeight="1">
      <c r="AK41"/>
      <c r="BM41">
        <v>11</v>
      </c>
    </row>
    <row r="42" spans="4:65" ht="11.55" customHeight="1">
      <c r="AK42"/>
      <c r="BM42">
        <v>11</v>
      </c>
    </row>
    <row r="43" spans="4:65" ht="11.55" customHeight="1">
      <c r="AK43"/>
      <c r="BM43">
        <v>11</v>
      </c>
    </row>
    <row r="44" spans="4:65" ht="11.55" customHeight="1">
      <c r="AK44"/>
      <c r="BM44">
        <v>11</v>
      </c>
    </row>
    <row r="45" spans="4:65" ht="11.55" customHeight="1">
      <c r="AK45"/>
      <c r="BM45">
        <v>11</v>
      </c>
    </row>
    <row r="46" spans="4:65" ht="11.55" customHeight="1">
      <c r="AK46"/>
      <c r="BM46">
        <v>11</v>
      </c>
    </row>
    <row r="47" spans="4:65" ht="11.55" customHeight="1">
      <c r="AK47"/>
      <c r="BM47">
        <v>11</v>
      </c>
    </row>
    <row r="48" spans="4:65" ht="11.55" customHeight="1">
      <c r="AK48"/>
      <c r="BM48">
        <v>11</v>
      </c>
    </row>
    <row r="49" spans="1:65" ht="11.5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customWidth="1"/>
    <col min="2" max="2" width="34.625" customWidth="1"/>
    <col min="3" max="3" width="85" customWidth="1"/>
    <col min="4" max="4" width="17" customWidth="1"/>
    <col min="5" max="5" width="8" customWidth="1"/>
    <col min="6" max="6" width="9.125" hidden="1"/>
  </cols>
  <sheetData>
    <row r="1" spans="1:6" ht="3" customHeight="1">
      <c r="F1" t="s">
        <v>14</v>
      </c>
    </row>
    <row r="2" spans="1:6" ht="22.5" customHeight="1">
      <c r="B2" s="1508" t="s">
        <v>1901</v>
      </c>
      <c r="C2" s="1508"/>
      <c r="D2" s="1508"/>
      <c r="E2" s="158"/>
      <c r="F2">
        <v>22</v>
      </c>
    </row>
    <row r="3" spans="1:6" ht="3" customHeight="1">
      <c r="F3">
        <v>3</v>
      </c>
    </row>
    <row r="4" spans="1:6" ht="23.25" customHeight="1">
      <c r="B4" s="218" t="s">
        <v>1902</v>
      </c>
      <c r="C4" s="218" t="s">
        <v>1903</v>
      </c>
      <c r="D4" s="218" t="s">
        <v>1904</v>
      </c>
      <c r="F4">
        <v>22</v>
      </c>
    </row>
    <row r="5" spans="1:6" ht="11.25" hidden="1" customHeight="1">
      <c r="A5" t="s">
        <v>83</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customWidth="1"/>
    <col min="2" max="2" width="10" customWidth="1"/>
    <col min="4" max="4" width="11.125" customWidth="1"/>
    <col min="5" max="5" width="16.625" customWidth="1"/>
    <col min="6" max="6" width="16.25" customWidth="1"/>
    <col min="7" max="7" width="19.125" customWidth="1"/>
    <col min="8" max="11" width="10" customWidth="1"/>
    <col min="12" max="12" width="12.75" customWidth="1"/>
    <col min="13" max="13" width="61.25" customWidth="1"/>
    <col min="14" max="14" width="10" customWidth="1"/>
    <col min="15" max="17" width="23.75" customWidth="1"/>
    <col min="18" max="18" width="11.75" customWidth="1"/>
    <col min="19" max="19" width="8.625" customWidth="1"/>
    <col min="20" max="20" width="11.75" customWidth="1"/>
    <col min="21" max="21" width="8.625" customWidth="1"/>
    <col min="22" max="22" width="4.75" customWidth="1"/>
    <col min="23" max="23" width="115.75" customWidth="1"/>
    <col min="24" max="24" width="115.25" customWidth="1"/>
    <col min="28" max="28" width="115.75" customWidth="1"/>
    <col min="30" max="90" width="115.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72">
        <v>1</v>
      </c>
      <c r="B13" s="63"/>
      <c r="C13" s="462" t="s">
        <v>522</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2"/>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2"/>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522</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522</v>
      </c>
      <c r="D23" s="1169" t="s">
        <v>110</v>
      </c>
      <c r="E23" s="1170"/>
      <c r="F23" s="1168" t="s">
        <v>19</v>
      </c>
      <c r="G23" s="1543"/>
      <c r="H23" s="1158">
        <v>1</v>
      </c>
      <c r="I23" s="1545" t="str">
        <f>IF(U23="","",INDEX(TERRITORY_MR_LIST,MATCH(U23,TERRITORY_LIST_ID,0)))</f>
        <v/>
      </c>
      <c r="J23" s="1168"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69"/>
      <c r="E24" s="1171"/>
      <c r="F24" s="1168"/>
      <c r="G24" s="1544"/>
      <c r="H24" s="1158"/>
      <c r="I24" s="1546"/>
      <c r="J24" s="1168"/>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9"/>
      <c r="E25" s="1172"/>
      <c r="F25" s="1168"/>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7" t="s">
        <v>522</v>
      </c>
      <c r="H29" s="1139">
        <v>1</v>
      </c>
      <c r="I29" s="1548" t="str">
        <f>IF(U29="","",INDEX(TERRITORY_MR_LIST,MATCH(U29,TERRITORY_LIST_ID,0)))</f>
        <v/>
      </c>
      <c r="J29" s="1168"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7"/>
      <c r="H30" s="1139"/>
      <c r="I30" s="1548"/>
      <c r="J30" s="1168"/>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522</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48" t="s">
        <v>317</v>
      </c>
      <c r="B47" s="289"/>
      <c r="C47" s="1259"/>
      <c r="D47" s="251" t="str">
        <f>A47</f>
        <v>5.1</v>
      </c>
      <c r="E47" s="249" t="s">
        <v>318</v>
      </c>
      <c r="F47" s="39" t="s">
        <v>310</v>
      </c>
      <c r="G47" s="250" t="s">
        <v>319</v>
      </c>
      <c r="H47" s="270"/>
      <c r="I47" s="489"/>
    </row>
    <row r="48" spans="1:38" s="254" customFormat="1" ht="22.5" customHeight="1">
      <c r="A48" s="1248"/>
      <c r="B48" s="289"/>
      <c r="C48" s="1259"/>
      <c r="D48" s="247" t="str">
        <f>D47&amp;".1"</f>
        <v>5.1.1</v>
      </c>
      <c r="E48" s="246" t="s">
        <v>320</v>
      </c>
      <c r="F48" s="248" t="s">
        <v>28</v>
      </c>
      <c r="G48" s="269"/>
      <c r="H48" s="270"/>
      <c r="I48" s="489"/>
    </row>
    <row r="49" spans="1:45" s="254" customFormat="1" ht="22.5" customHeight="1">
      <c r="A49" s="1248"/>
      <c r="B49" s="289"/>
      <c r="C49" s="1259"/>
      <c r="D49" s="247" t="str">
        <f>D47&amp;".2"</f>
        <v>5.1.2</v>
      </c>
      <c r="E49" s="246" t="s">
        <v>321</v>
      </c>
      <c r="F49" s="941" t="s">
        <v>28</v>
      </c>
      <c r="G49" s="250" t="s">
        <v>322</v>
      </c>
      <c r="H49" s="270"/>
      <c r="I49" s="489"/>
    </row>
    <row r="50" spans="1:45" s="254" customFormat="1" ht="22.5" customHeight="1">
      <c r="A50" s="1248"/>
      <c r="B50" s="289"/>
      <c r="C50" s="1259"/>
      <c r="D50" s="247" t="str">
        <f>D47&amp;".3"</f>
        <v>5.1.3</v>
      </c>
      <c r="E50" s="246" t="s">
        <v>323</v>
      </c>
      <c r="F50" s="248" t="s">
        <v>28</v>
      </c>
      <c r="G50" s="269"/>
      <c r="H50" s="270"/>
      <c r="I50" s="489"/>
    </row>
    <row r="51" spans="1:45" s="254" customFormat="1" ht="22.5" customHeight="1">
      <c r="A51" s="1248"/>
      <c r="B51" s="289"/>
      <c r="C51" s="1259"/>
      <c r="D51" s="247" t="str">
        <f>D47&amp;".4"</f>
        <v>5.1.4</v>
      </c>
      <c r="E51" s="246" t="s">
        <v>324</v>
      </c>
      <c r="F51" s="248" t="s">
        <v>28</v>
      </c>
      <c r="G51" s="250" t="s">
        <v>325</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67</v>
      </c>
      <c r="K56" s="986" t="s">
        <v>28</v>
      </c>
      <c r="L56"/>
      <c r="M56" s="68"/>
      <c r="N56" s="68"/>
      <c r="O56" s="68"/>
      <c r="P56" s="293" t="s">
        <v>396</v>
      </c>
      <c r="Q56" s="293" t="s">
        <v>397</v>
      </c>
      <c r="R56" s="294" t="s">
        <v>398</v>
      </c>
      <c r="S56" s="68" t="s">
        <v>399</v>
      </c>
      <c r="T56" s="68"/>
      <c r="U56" s="68"/>
      <c r="V56" s="68"/>
    </row>
    <row r="58" spans="1:45" s="984" customFormat="1" ht="11.25" customHeight="1">
      <c r="A58" s="984" t="s">
        <v>1916</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1917</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509"/>
      <c r="G72" s="1510"/>
      <c r="H72" s="1511" t="s">
        <v>67</v>
      </c>
      <c r="I72" s="1513"/>
      <c r="J72" s="1515"/>
      <c r="K72" s="1517"/>
      <c r="L72" s="1528"/>
      <c r="M72" s="1528"/>
      <c r="N72" s="1551"/>
      <c r="O72" s="1551"/>
      <c r="P72" s="1552" t="e">
        <f>DATEDIF(DATEVALUE(N72),DATEVALUE(O72),"y")&amp;"г. "&amp;DATEDIF(DATEVALUE(N72),DATEVALUE(O72),"ym")&amp;"мес. "&amp;DATEVALUE(O72)-DATE(YEAR(DATEVALUE(O72)),MONTH(DATEVALUE(O72)),1)&amp;"дн. "</f>
        <v>#VALUE!</v>
      </c>
      <c r="Q72" s="1529"/>
      <c r="R72" s="1529"/>
      <c r="S72" s="1529"/>
      <c r="T72" s="1515"/>
      <c r="U72" s="1529"/>
      <c r="V72" s="1529"/>
      <c r="W72" s="1529"/>
      <c r="X72" s="1515"/>
      <c r="Y72" s="1549" t="s">
        <v>67</v>
      </c>
      <c r="Z72" s="862"/>
      <c r="AA72" s="41">
        <v>1</v>
      </c>
      <c r="AB72" s="719"/>
      <c r="AD72" s="68" t="s">
        <v>1920</v>
      </c>
    </row>
    <row r="73" spans="1:30" s="11" customFormat="1" ht="10.5" customHeight="1">
      <c r="A73" s="303"/>
      <c r="B73" s="303"/>
      <c r="C73" s="303"/>
      <c r="D73" s="63"/>
      <c r="E73" s="544"/>
      <c r="F73" s="1509"/>
      <c r="G73" s="1510"/>
      <c r="H73" s="1512"/>
      <c r="I73" s="1514"/>
      <c r="J73" s="1516"/>
      <c r="K73" s="1517"/>
      <c r="L73" s="1528"/>
      <c r="M73" s="1528"/>
      <c r="N73" s="1551"/>
      <c r="O73" s="1551"/>
      <c r="P73" s="1552"/>
      <c r="Q73" s="1529"/>
      <c r="R73" s="1529"/>
      <c r="S73" s="1529"/>
      <c r="T73" s="1516"/>
      <c r="U73" s="1529"/>
      <c r="V73" s="1529"/>
      <c r="W73" s="1529"/>
      <c r="X73" s="1516"/>
      <c r="Y73" s="1550"/>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55"/>
      <c r="G82" s="1469"/>
      <c r="H82" s="1558" t="s">
        <v>380</v>
      </c>
      <c r="I82" s="1559"/>
      <c r="J82" s="1521"/>
      <c r="K82" s="1521"/>
      <c r="L82" s="1553"/>
      <c r="M82" s="1291"/>
      <c r="N82" s="1070"/>
      <c r="O82" s="1069"/>
      <c r="P82" s="1070"/>
      <c r="Q82" s="1070"/>
      <c r="R82" s="1070"/>
      <c r="S82" s="1070"/>
      <c r="T82" s="1070"/>
      <c r="U82" s="1070"/>
      <c r="V82" s="1070"/>
      <c r="W82" s="1070"/>
      <c r="X82" s="1070"/>
      <c r="Y82" s="1070"/>
      <c r="Z82" s="1070"/>
      <c r="AA82" s="1070"/>
      <c r="AB82" s="1070"/>
      <c r="AC82" s="1070"/>
      <c r="AD82" s="1070"/>
      <c r="AE82" s="1070"/>
      <c r="AF82" s="1557"/>
      <c r="AG82" s="1553"/>
      <c r="AH82" s="1553"/>
      <c r="AI82" s="1557"/>
      <c r="AJ82" s="1553"/>
      <c r="AK82" s="155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55"/>
      <c r="G83" s="1469"/>
      <c r="H83" s="1558"/>
      <c r="I83" s="1559"/>
      <c r="J83" s="1521"/>
      <c r="K83" s="1521"/>
      <c r="L83" s="1553"/>
      <c r="M83" s="1291"/>
      <c r="N83" s="1560"/>
      <c r="O83" s="1561"/>
      <c r="P83" s="1518"/>
      <c r="Q83" s="1521"/>
      <c r="R83" s="1521"/>
      <c r="S83" s="1521"/>
      <c r="T83" s="1521"/>
      <c r="U83" s="1521"/>
      <c r="V83" s="1521"/>
      <c r="W83" s="1521"/>
      <c r="X83" s="1521"/>
      <c r="Y83" s="1521"/>
      <c r="Z83" s="1071"/>
      <c r="AA83" s="1072"/>
      <c r="AB83" s="1072"/>
      <c r="AC83" s="1073"/>
      <c r="AD83" s="1073"/>
      <c r="AE83" s="1074"/>
      <c r="AF83" s="1557"/>
      <c r="AG83" s="1553"/>
      <c r="AH83" s="1553"/>
      <c r="AI83" s="1557"/>
      <c r="AJ83" s="1553"/>
      <c r="AK83" s="155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55"/>
      <c r="G84" s="1469"/>
      <c r="H84" s="1558"/>
      <c r="I84" s="1559"/>
      <c r="J84" s="1521"/>
      <c r="K84" s="1521"/>
      <c r="L84" s="1553"/>
      <c r="M84" s="1291"/>
      <c r="N84" s="1560"/>
      <c r="O84" s="1561"/>
      <c r="P84" s="1519"/>
      <c r="Q84" s="1521"/>
      <c r="R84" s="1521"/>
      <c r="S84" s="1521"/>
      <c r="T84" s="1521"/>
      <c r="U84" s="1521"/>
      <c r="V84" s="1521"/>
      <c r="W84" s="1521"/>
      <c r="X84" s="1521"/>
      <c r="Y84" s="1521"/>
      <c r="Z84" s="1075"/>
      <c r="AA84" s="1076"/>
      <c r="AB84" s="1077"/>
      <c r="AC84" s="1078"/>
      <c r="AD84" s="1077"/>
      <c r="AE84" s="1078"/>
      <c r="AF84" s="1557"/>
      <c r="AG84" s="1553"/>
      <c r="AH84" s="1553"/>
      <c r="AI84" s="1557"/>
      <c r="AJ84" s="1553"/>
      <c r="AK84" s="155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55"/>
      <c r="G85" s="1469"/>
      <c r="H85" s="1558"/>
      <c r="I85" s="1559"/>
      <c r="J85" s="1521"/>
      <c r="K85" s="1521"/>
      <c r="L85" s="1553"/>
      <c r="M85" s="1291"/>
      <c r="N85" s="1560"/>
      <c r="O85" s="1561"/>
      <c r="P85" s="1520"/>
      <c r="Q85" s="1521"/>
      <c r="R85" s="1521"/>
      <c r="S85" s="1521"/>
      <c r="T85" s="1521"/>
      <c r="U85" s="1521"/>
      <c r="V85" s="1521"/>
      <c r="W85" s="1521"/>
      <c r="X85" s="1521"/>
      <c r="Y85" s="1521"/>
      <c r="Z85" s="1071"/>
      <c r="AA85" s="1072"/>
      <c r="AB85" s="1079"/>
      <c r="AC85" s="1073"/>
      <c r="AD85" s="1073"/>
      <c r="AE85" s="1080"/>
      <c r="AF85" s="1557"/>
      <c r="AG85" s="1553"/>
      <c r="AH85" s="1553"/>
      <c r="AI85" s="1557"/>
      <c r="AJ85" s="1553"/>
      <c r="AK85" s="155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55"/>
      <c r="G86" s="1469"/>
      <c r="H86" s="1558"/>
      <c r="I86" s="1559"/>
      <c r="J86" s="1521"/>
      <c r="K86" s="1521"/>
      <c r="L86" s="1553"/>
      <c r="M86" s="1291"/>
      <c r="N86" s="1072"/>
      <c r="O86" s="1072"/>
      <c r="P86" s="1079"/>
      <c r="Q86" s="1072"/>
      <c r="R86" s="1072"/>
      <c r="S86" s="1072"/>
      <c r="T86" s="1072"/>
      <c r="U86" s="1072"/>
      <c r="V86" s="1072"/>
      <c r="W86" s="1072"/>
      <c r="X86" s="1072"/>
      <c r="Y86" s="1072"/>
      <c r="Z86" s="1072"/>
      <c r="AA86" s="1072"/>
      <c r="AB86" s="1072"/>
      <c r="AC86" s="1072"/>
      <c r="AD86" s="1072"/>
      <c r="AE86" s="1081"/>
      <c r="AF86" s="1557"/>
      <c r="AG86" s="1553"/>
      <c r="AH86" s="1553"/>
      <c r="AI86" s="1557"/>
      <c r="AJ86" s="1553"/>
      <c r="AK86" s="155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6"/>
      <c r="G87" s="688"/>
      <c r="H87" s="688"/>
      <c r="I87" s="1554" t="s">
        <v>1924</v>
      </c>
      <c r="J87" s="1554"/>
      <c r="K87" s="155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522"/>
      <c r="O91" s="1523">
        <v>1</v>
      </c>
      <c r="P91" s="1524" t="s">
        <v>19</v>
      </c>
      <c r="Q91" s="1433" t="s">
        <v>28</v>
      </c>
      <c r="R91" s="1433" t="s">
        <v>28</v>
      </c>
      <c r="S91" s="1433" t="s">
        <v>28</v>
      </c>
      <c r="T91" s="1433" t="s">
        <v>28</v>
      </c>
      <c r="U91" s="1433" t="s">
        <v>28</v>
      </c>
      <c r="V91" s="1433" t="s">
        <v>28</v>
      </c>
      <c r="W91" s="1433" t="s">
        <v>28</v>
      </c>
      <c r="X91" s="1433" t="s">
        <v>28</v>
      </c>
      <c r="Y91" s="1433"/>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22"/>
      <c r="O92" s="1523"/>
      <c r="P92" s="1525"/>
      <c r="Q92" s="1433"/>
      <c r="R92" s="1433"/>
      <c r="S92" s="1527"/>
      <c r="T92" s="1433"/>
      <c r="U92" s="1433"/>
      <c r="V92" s="1433"/>
      <c r="W92" s="1433"/>
      <c r="X92" s="1433"/>
      <c r="Y92" s="1433"/>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22"/>
      <c r="O93" s="1523"/>
      <c r="P93" s="1526"/>
      <c r="Q93" s="1433"/>
      <c r="R93" s="1433"/>
      <c r="S93" s="1527"/>
      <c r="T93" s="1433"/>
      <c r="U93" s="1433"/>
      <c r="V93" s="1433"/>
      <c r="W93" s="1433"/>
      <c r="X93" s="1433"/>
      <c r="Y93" s="1433"/>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69" t="s">
        <v>110</v>
      </c>
      <c r="I101" s="1574"/>
      <c r="J101" s="1502"/>
      <c r="K101" s="1572"/>
      <c r="L101" s="1168" t="s">
        <v>19</v>
      </c>
      <c r="M101" s="1169"/>
      <c r="N101" s="1056"/>
      <c r="O101" s="677" t="s">
        <v>380</v>
      </c>
      <c r="P101" s="678"/>
      <c r="Q101" s="678"/>
      <c r="R101" s="678"/>
      <c r="S101" s="678"/>
      <c r="T101" s="678"/>
      <c r="U101" s="678"/>
      <c r="V101" s="678"/>
      <c r="W101" s="678"/>
      <c r="X101" s="678"/>
      <c r="Y101" s="678"/>
      <c r="Z101" s="678"/>
      <c r="AA101" s="678"/>
      <c r="AB101" s="678"/>
      <c r="AC101" s="678"/>
      <c r="AD101" s="678"/>
      <c r="AE101" s="678"/>
      <c r="AF101" s="1575"/>
      <c r="AG101" s="1576"/>
      <c r="AH101" s="1576"/>
      <c r="AI101" s="1575"/>
      <c r="AJ101" s="1576"/>
      <c r="AK101" s="157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9"/>
      <c r="I102" s="1574"/>
      <c r="J102" s="1502"/>
      <c r="K102" s="1572"/>
      <c r="L102" s="1168"/>
      <c r="M102" s="1169"/>
      <c r="N102" s="1522"/>
      <c r="O102" s="1577">
        <v>1</v>
      </c>
      <c r="P102" s="1524" t="s">
        <v>19</v>
      </c>
      <c r="Q102" s="1433" t="s">
        <v>28</v>
      </c>
      <c r="R102" s="1433" t="s">
        <v>28</v>
      </c>
      <c r="S102" s="1433" t="s">
        <v>28</v>
      </c>
      <c r="T102" s="1433" t="s">
        <v>28</v>
      </c>
      <c r="U102" s="1433" t="s">
        <v>28</v>
      </c>
      <c r="V102" s="1433" t="s">
        <v>28</v>
      </c>
      <c r="W102" s="1433" t="s">
        <v>28</v>
      </c>
      <c r="X102" s="1433" t="s">
        <v>28</v>
      </c>
      <c r="Y102" s="1433"/>
      <c r="Z102" s="675"/>
      <c r="AA102" s="676"/>
      <c r="AB102" s="676"/>
      <c r="AC102" s="680"/>
      <c r="AD102" s="680"/>
      <c r="AE102" s="681"/>
      <c r="AF102" s="1575"/>
      <c r="AG102" s="1576"/>
      <c r="AH102" s="1576"/>
      <c r="AI102" s="1575"/>
      <c r="AJ102" s="1576"/>
      <c r="AK102" s="157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9"/>
      <c r="I103" s="1574"/>
      <c r="J103" s="1502"/>
      <c r="K103" s="1572"/>
      <c r="L103" s="1168"/>
      <c r="M103" s="1169"/>
      <c r="N103" s="1522"/>
      <c r="O103" s="1577"/>
      <c r="P103" s="1525"/>
      <c r="Q103" s="1433"/>
      <c r="R103" s="1433"/>
      <c r="S103" s="1527"/>
      <c r="T103" s="1433"/>
      <c r="U103" s="1433"/>
      <c r="V103" s="1433"/>
      <c r="W103" s="1433"/>
      <c r="X103" s="1433"/>
      <c r="Y103" s="1433"/>
      <c r="Z103" s="988"/>
      <c r="AA103" s="979">
        <v>1</v>
      </c>
      <c r="AB103" s="679"/>
      <c r="AC103" s="380"/>
      <c r="AD103" s="679">
        <f>AB103</f>
        <v>0</v>
      </c>
      <c r="AE103" s="380"/>
      <c r="AF103" s="1575"/>
      <c r="AG103" s="1576"/>
      <c r="AH103" s="1576"/>
      <c r="AI103" s="1575"/>
      <c r="AJ103" s="1576"/>
      <c r="AK103" s="157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9"/>
      <c r="I104" s="1574"/>
      <c r="J104" s="1502"/>
      <c r="K104" s="1572"/>
      <c r="L104" s="1168"/>
      <c r="M104" s="1169"/>
      <c r="N104" s="1522"/>
      <c r="O104" s="1577"/>
      <c r="P104" s="1526"/>
      <c r="Q104" s="1433"/>
      <c r="R104" s="1433"/>
      <c r="S104" s="1527"/>
      <c r="T104" s="1433"/>
      <c r="U104" s="1433"/>
      <c r="V104" s="1433"/>
      <c r="W104" s="1433"/>
      <c r="X104" s="1433"/>
      <c r="Y104" s="1433"/>
      <c r="Z104" s="675"/>
      <c r="AA104" s="676"/>
      <c r="AB104" s="110" t="s">
        <v>1926</v>
      </c>
      <c r="AC104" s="680"/>
      <c r="AD104" s="680"/>
      <c r="AE104" s="682"/>
      <c r="AF104" s="1575"/>
      <c r="AG104" s="1576"/>
      <c r="AH104" s="1576"/>
      <c r="AI104" s="1575"/>
      <c r="AJ104" s="1576"/>
      <c r="AK104" s="157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9"/>
      <c r="I105" s="1574"/>
      <c r="J105" s="1502"/>
      <c r="K105" s="1572"/>
      <c r="L105" s="1168"/>
      <c r="M105" s="1169"/>
      <c r="N105" s="675"/>
      <c r="O105" s="676"/>
      <c r="P105" s="110" t="s">
        <v>1929</v>
      </c>
      <c r="Q105" s="676"/>
      <c r="R105" s="676"/>
      <c r="S105" s="676"/>
      <c r="T105" s="676"/>
      <c r="U105" s="676"/>
      <c r="V105" s="676"/>
      <c r="W105" s="676"/>
      <c r="X105" s="676"/>
      <c r="Y105" s="676"/>
      <c r="Z105" s="676"/>
      <c r="AA105" s="676"/>
      <c r="AB105" s="676"/>
      <c r="AC105" s="676"/>
      <c r="AD105" s="676"/>
      <c r="AE105" s="683"/>
      <c r="AF105" s="1575"/>
      <c r="AG105" s="1576"/>
      <c r="AH105" s="1576"/>
      <c r="AI105" s="1575"/>
      <c r="AJ105" s="1576"/>
      <c r="AK105" s="157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customHeight="1">
      <c r="A115" s="32"/>
      <c r="D115" s="1531" t="s">
        <v>110</v>
      </c>
      <c r="E115" s="1415" t="s">
        <v>106</v>
      </c>
      <c r="F115" s="1416"/>
      <c r="G115" s="1417"/>
      <c r="H115" s="1411" t="str">
        <f>IF(A115="","",INDEX(DIFFERENTIATION_UNMERGE_VD,MATCH(A115,DIFFERENTIATION_ID_DIFF,0)))</f>
        <v/>
      </c>
      <c r="I115" s="1411"/>
      <c r="J115" s="1411"/>
      <c r="K115" s="1411"/>
      <c r="L115" s="1411"/>
      <c r="M115" s="1411"/>
      <c r="N115" s="1411"/>
      <c r="O115" s="1411"/>
      <c r="P115" s="1411"/>
      <c r="Q115" s="1411"/>
      <c r="R115" s="1411"/>
      <c r="S115" s="416"/>
      <c r="T115" s="414"/>
      <c r="U115" s="104"/>
      <c r="V115" s="104"/>
      <c r="W115" s="62"/>
      <c r="X115" s="62"/>
      <c r="Y115" s="62"/>
      <c r="Z115" s="62"/>
      <c r="AA115" s="104"/>
      <c r="AB115" s="62"/>
      <c r="AC115" s="1414"/>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32"/>
      <c r="E116" s="1415" t="s">
        <v>567</v>
      </c>
      <c r="F116" s="1416"/>
      <c r="G116" s="1417"/>
      <c r="H116" s="1411" t="str">
        <f>IF(A115="","",INDEX(DIFFERENTIATION_UNMERGE_AREA,MATCH(A115,DIFFERENTIATION_ID_DIFF,0)))</f>
        <v/>
      </c>
      <c r="I116" s="1411"/>
      <c r="J116" s="1411"/>
      <c r="K116" s="1411"/>
      <c r="L116" s="1411"/>
      <c r="M116" s="1411"/>
      <c r="N116" s="1411"/>
      <c r="O116" s="1411"/>
      <c r="P116" s="1411"/>
      <c r="Q116" s="1411"/>
      <c r="R116" s="1411"/>
      <c r="S116" s="416"/>
      <c r="T116" s="414"/>
      <c r="U116" s="104"/>
      <c r="V116" s="104"/>
      <c r="W116" s="62"/>
      <c r="X116" s="62"/>
      <c r="Y116" s="62"/>
      <c r="Z116" s="62"/>
      <c r="AA116" s="104"/>
      <c r="AB116" s="62"/>
      <c r="AC116" s="1414"/>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32"/>
      <c r="E117" s="1415" t="s">
        <v>568</v>
      </c>
      <c r="F117" s="1416"/>
      <c r="G117" s="1417"/>
      <c r="H117" s="1411" t="str">
        <f>IF(A115="","",INDEX(DIFFERENTIATION_UNMERGE_SYSTEM,MATCH(A115,DIFFERENTIATION_ID_DIFF,0)))</f>
        <v/>
      </c>
      <c r="I117" s="1411"/>
      <c r="J117" s="1411"/>
      <c r="K117" s="1411"/>
      <c r="L117" s="1411"/>
      <c r="M117" s="1411"/>
      <c r="N117" s="1411"/>
      <c r="O117" s="1411"/>
      <c r="P117" s="1411"/>
      <c r="Q117" s="1411"/>
      <c r="R117" s="1411"/>
      <c r="S117" s="416"/>
      <c r="T117" s="414"/>
      <c r="U117" s="104"/>
      <c r="V117" s="104"/>
      <c r="W117" s="62"/>
      <c r="X117" s="62"/>
      <c r="Y117" s="62"/>
      <c r="Z117" s="62"/>
      <c r="AA117" s="104"/>
      <c r="AB117" s="62"/>
      <c r="AC117" s="1414"/>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32"/>
      <c r="E118" s="1413" t="s">
        <v>613</v>
      </c>
      <c r="F118" s="1413"/>
      <c r="G118" s="1413"/>
      <c r="H118" s="1413"/>
      <c r="I118" s="1413"/>
      <c r="J118" s="1413"/>
      <c r="K118" s="1413"/>
      <c r="L118" s="1413"/>
      <c r="M118" s="1413"/>
      <c r="N118" s="1413"/>
      <c r="O118" s="1413"/>
      <c r="P118" s="1413"/>
      <c r="Q118" s="322">
        <f>SUMIF(T119:T120,"i",Q119:Q120)</f>
        <v>0</v>
      </c>
      <c r="R118" s="596"/>
      <c r="S118" s="153" t="s">
        <v>614</v>
      </c>
      <c r="T118" s="414" t="s">
        <v>615</v>
      </c>
      <c r="U118" s="1298">
        <v>1</v>
      </c>
      <c r="V118" s="1298" t="s">
        <v>578</v>
      </c>
      <c r="W118" s="63"/>
      <c r="X118" s="63"/>
      <c r="Y118" s="63"/>
      <c r="Z118" s="63"/>
      <c r="AA118" s="68"/>
      <c r="AB118" s="63"/>
      <c r="AC118" s="1414"/>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32"/>
      <c r="E119" s="362"/>
      <c r="F119" s="362">
        <v>0</v>
      </c>
      <c r="G119" s="362"/>
      <c r="H119" s="362"/>
      <c r="I119" s="362"/>
      <c r="J119" s="362"/>
      <c r="K119" s="362"/>
      <c r="L119" s="362"/>
      <c r="M119" s="362"/>
      <c r="N119" s="362"/>
      <c r="O119" s="362"/>
      <c r="P119" s="362"/>
      <c r="Q119" s="362"/>
      <c r="R119" s="362"/>
      <c r="S119" s="317"/>
      <c r="T119" s="415"/>
      <c r="U119" s="1298"/>
      <c r="V119" s="1298"/>
      <c r="W119" s="68"/>
      <c r="X119" s="68"/>
      <c r="Y119" s="68"/>
      <c r="Z119" s="68"/>
      <c r="AA119" s="68"/>
      <c r="AB119" s="63"/>
      <c r="AC119" s="1414"/>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32"/>
      <c r="E120" s="184" t="s">
        <v>28</v>
      </c>
      <c r="F120" s="110" t="s">
        <v>28</v>
      </c>
      <c r="G120" s="110" t="s">
        <v>1933</v>
      </c>
      <c r="H120" s="52" t="s">
        <v>28</v>
      </c>
      <c r="I120" s="52"/>
      <c r="J120" s="52"/>
      <c r="K120" s="52"/>
      <c r="L120" s="52"/>
      <c r="M120" s="52"/>
      <c r="N120" s="52"/>
      <c r="O120" s="52"/>
      <c r="P120" s="52"/>
      <c r="Q120" s="52"/>
      <c r="R120" s="352"/>
      <c r="S120" s="371"/>
      <c r="T120" s="415"/>
      <c r="U120" s="1298"/>
      <c r="V120" s="1298"/>
      <c r="W120" s="63"/>
      <c r="X120" s="63"/>
      <c r="Y120" s="63"/>
      <c r="Z120" s="63"/>
      <c r="AA120" s="68"/>
      <c r="AB120" s="63"/>
      <c r="AC120" s="1414"/>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32"/>
      <c r="E121" s="1413" t="s">
        <v>616</v>
      </c>
      <c r="F121" s="1413"/>
      <c r="G121" s="1413"/>
      <c r="H121" s="1413"/>
      <c r="I121" s="1413"/>
      <c r="J121" s="1413"/>
      <c r="K121" s="1413"/>
      <c r="L121" s="1413"/>
      <c r="M121" s="1413"/>
      <c r="N121" s="1413"/>
      <c r="O121" s="1413"/>
      <c r="P121" s="1413"/>
      <c r="Q121" s="322">
        <f>SUMIF(T122:T123,"i",Q122:Q123)</f>
        <v>0</v>
      </c>
      <c r="R121" s="596"/>
      <c r="S121" s="153" t="s">
        <v>617</v>
      </c>
      <c r="T121" s="414" t="s">
        <v>615</v>
      </c>
      <c r="U121" s="1298">
        <v>1</v>
      </c>
      <c r="V121" s="1298"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32"/>
      <c r="E122" s="362"/>
      <c r="F122" s="362">
        <v>0</v>
      </c>
      <c r="G122" s="362"/>
      <c r="H122" s="362"/>
      <c r="I122" s="362"/>
      <c r="J122" s="362"/>
      <c r="K122" s="362"/>
      <c r="L122" s="362"/>
      <c r="M122" s="362"/>
      <c r="N122" s="362"/>
      <c r="O122" s="362"/>
      <c r="P122" s="362"/>
      <c r="Q122" s="362"/>
      <c r="R122" s="362"/>
      <c r="S122" s="317"/>
      <c r="T122" s="415"/>
      <c r="U122" s="1298"/>
      <c r="V122" s="129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33"/>
      <c r="E123" s="184" t="s">
        <v>28</v>
      </c>
      <c r="F123" s="110" t="s">
        <v>28</v>
      </c>
      <c r="G123" s="110" t="s">
        <v>1933</v>
      </c>
      <c r="H123" s="52" t="s">
        <v>28</v>
      </c>
      <c r="I123" s="52"/>
      <c r="J123" s="52"/>
      <c r="K123" s="52"/>
      <c r="L123" s="52"/>
      <c r="M123" s="52"/>
      <c r="N123" s="52"/>
      <c r="O123" s="52"/>
      <c r="P123" s="52"/>
      <c r="Q123" s="52"/>
      <c r="R123" s="352"/>
      <c r="S123" s="371"/>
      <c r="T123" s="415"/>
      <c r="U123" s="1298"/>
      <c r="V123" s="129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1934</v>
      </c>
    </row>
    <row r="127" spans="1:83" ht="15" customHeight="1">
      <c r="A127" s="32"/>
      <c r="D127" s="1531" t="s">
        <v>110</v>
      </c>
      <c r="E127" s="1415" t="s">
        <v>106</v>
      </c>
      <c r="F127" s="1416"/>
      <c r="G127" s="1417"/>
      <c r="H127" s="1411" t="str">
        <f>IF(A127="","",INDEX(DIFFERENTIATION_UNMERGE_VD,MATCH(A127,DIFFERENTIATION_ID_DIFF,0)))</f>
        <v/>
      </c>
      <c r="I127" s="1411"/>
      <c r="J127" s="1411"/>
      <c r="K127" s="1411"/>
      <c r="L127" s="1411"/>
      <c r="M127" s="1411"/>
      <c r="N127" s="1411"/>
      <c r="O127" s="1411"/>
      <c r="P127" s="1411"/>
      <c r="Q127" s="1411"/>
      <c r="R127" s="1411"/>
      <c r="S127" s="416"/>
      <c r="T127" s="414"/>
      <c r="U127" s="104"/>
      <c r="V127" s="104"/>
      <c r="W127" s="62"/>
      <c r="X127" s="62"/>
      <c r="Y127" s="62"/>
      <c r="Z127" s="62"/>
      <c r="AA127" s="104"/>
      <c r="AB127" s="62"/>
      <c r="AC127" s="1414"/>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32"/>
      <c r="E128" s="1415" t="s">
        <v>567</v>
      </c>
      <c r="F128" s="1416"/>
      <c r="G128" s="1417"/>
      <c r="H128" s="1411" t="str">
        <f>IF(A127="","",INDEX(DIFFERENTIATION_UNMERGE_AREA,MATCH(A127,DIFFERENTIATION_ID_DIFF,0)))</f>
        <v/>
      </c>
      <c r="I128" s="1411"/>
      <c r="J128" s="1411"/>
      <c r="K128" s="1411"/>
      <c r="L128" s="1411"/>
      <c r="M128" s="1411"/>
      <c r="N128" s="1411"/>
      <c r="O128" s="1411"/>
      <c r="P128" s="1411"/>
      <c r="Q128" s="1411"/>
      <c r="R128" s="1411"/>
      <c r="S128" s="416"/>
      <c r="T128" s="414"/>
      <c r="U128" s="104"/>
      <c r="V128" s="104"/>
      <c r="W128" s="62"/>
      <c r="X128" s="62"/>
      <c r="Y128" s="62"/>
      <c r="Z128" s="62"/>
      <c r="AA128" s="104"/>
      <c r="AB128" s="62"/>
      <c r="AC128" s="1414"/>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32"/>
      <c r="E129" s="1415" t="s">
        <v>568</v>
      </c>
      <c r="F129" s="1416"/>
      <c r="G129" s="1417"/>
      <c r="H129" s="1411" t="str">
        <f>IF(A127="","",INDEX(DIFFERENTIATION_UNMERGE_SYSTEM,MATCH(A127,DIFFERENTIATION_ID_DIFF,0)))</f>
        <v/>
      </c>
      <c r="I129" s="1411"/>
      <c r="J129" s="1411"/>
      <c r="K129" s="1411"/>
      <c r="L129" s="1411"/>
      <c r="M129" s="1411"/>
      <c r="N129" s="1411"/>
      <c r="O129" s="1411"/>
      <c r="P129" s="1411"/>
      <c r="Q129" s="1411"/>
      <c r="R129" s="1411"/>
      <c r="S129" s="416"/>
      <c r="T129" s="414"/>
      <c r="U129" s="104"/>
      <c r="V129" s="104"/>
      <c r="W129" s="62"/>
      <c r="X129" s="62"/>
      <c r="Y129" s="62"/>
      <c r="Z129" s="62"/>
      <c r="AA129" s="104"/>
      <c r="AB129" s="62"/>
      <c r="AC129" s="1414"/>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32"/>
      <c r="E130" s="1413" t="s">
        <v>613</v>
      </c>
      <c r="F130" s="1413"/>
      <c r="G130" s="1413"/>
      <c r="H130" s="1413"/>
      <c r="I130" s="1413"/>
      <c r="J130" s="1413"/>
      <c r="K130" s="1413"/>
      <c r="L130" s="1413"/>
      <c r="M130" s="1413"/>
      <c r="N130" s="1413"/>
      <c r="O130" s="1413"/>
      <c r="P130" s="1413"/>
      <c r="Q130" s="322">
        <f>SUMIF(T131:T132,"i",Q131:Q132)</f>
        <v>0</v>
      </c>
      <c r="R130" s="596"/>
      <c r="S130" s="153" t="s">
        <v>614</v>
      </c>
      <c r="T130" s="414" t="s">
        <v>615</v>
      </c>
      <c r="U130" s="1298">
        <v>1</v>
      </c>
      <c r="V130" s="1298" t="s">
        <v>578</v>
      </c>
      <c r="W130" s="63"/>
      <c r="X130" s="63"/>
      <c r="Y130" s="63"/>
      <c r="Z130" s="63"/>
      <c r="AA130" s="68"/>
      <c r="AB130" s="63"/>
      <c r="AC130" s="1414"/>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32"/>
      <c r="E131" s="362"/>
      <c r="F131" s="362">
        <v>0</v>
      </c>
      <c r="G131" s="362"/>
      <c r="H131" s="362"/>
      <c r="I131" s="362"/>
      <c r="J131" s="362"/>
      <c r="K131" s="362"/>
      <c r="L131" s="362"/>
      <c r="M131" s="362"/>
      <c r="N131" s="362"/>
      <c r="O131" s="362"/>
      <c r="P131" s="362"/>
      <c r="Q131" s="362"/>
      <c r="R131" s="362"/>
      <c r="S131" s="317"/>
      <c r="T131" s="415"/>
      <c r="U131" s="1298"/>
      <c r="V131" s="1298"/>
      <c r="W131" s="68"/>
      <c r="X131" s="68"/>
      <c r="Y131" s="68"/>
      <c r="Z131" s="68"/>
      <c r="AA131" s="68"/>
      <c r="AB131" s="63"/>
      <c r="AC131" s="1414"/>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32"/>
      <c r="E132" s="184" t="s">
        <v>28</v>
      </c>
      <c r="F132" s="110" t="s">
        <v>28</v>
      </c>
      <c r="G132" s="110" t="s">
        <v>1933</v>
      </c>
      <c r="H132" s="52" t="s">
        <v>28</v>
      </c>
      <c r="I132" s="52"/>
      <c r="J132" s="52"/>
      <c r="K132" s="52"/>
      <c r="L132" s="52"/>
      <c r="M132" s="52"/>
      <c r="N132" s="52"/>
      <c r="O132" s="52"/>
      <c r="P132" s="52"/>
      <c r="Q132" s="52"/>
      <c r="R132" s="352"/>
      <c r="S132" s="371"/>
      <c r="T132" s="415"/>
      <c r="U132" s="1298"/>
      <c r="V132" s="1298"/>
      <c r="W132" s="63"/>
      <c r="X132" s="63"/>
      <c r="Y132" s="63"/>
      <c r="Z132" s="63"/>
      <c r="AA132" s="68"/>
      <c r="AB132" s="63"/>
      <c r="AC132" s="1414"/>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32"/>
      <c r="E133" s="611"/>
      <c r="F133" s="611"/>
      <c r="G133" s="611"/>
      <c r="H133" s="611"/>
      <c r="I133" s="611"/>
      <c r="J133" s="611"/>
      <c r="K133" s="611"/>
      <c r="L133" s="611"/>
      <c r="M133" s="611"/>
      <c r="N133" s="611"/>
      <c r="O133" s="611"/>
      <c r="P133" s="611"/>
      <c r="Q133" s="612"/>
      <c r="R133" s="613"/>
      <c r="S133" s="362"/>
      <c r="T133" s="414" t="s">
        <v>615</v>
      </c>
      <c r="U133" s="1298">
        <v>1</v>
      </c>
      <c r="V133" s="1298"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32"/>
      <c r="E134" s="362"/>
      <c r="F134" s="362"/>
      <c r="G134" s="362"/>
      <c r="H134" s="362"/>
      <c r="I134" s="362"/>
      <c r="J134" s="362"/>
      <c r="K134" s="362"/>
      <c r="L134" s="362"/>
      <c r="M134" s="362"/>
      <c r="N134" s="362"/>
      <c r="O134" s="362"/>
      <c r="P134" s="362"/>
      <c r="Q134" s="362"/>
      <c r="R134" s="362"/>
      <c r="S134" s="317"/>
      <c r="T134" s="415"/>
      <c r="U134" s="1298"/>
      <c r="V134" s="129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33"/>
      <c r="E135" s="614"/>
      <c r="F135" s="615"/>
      <c r="G135" s="615"/>
      <c r="H135" s="616"/>
      <c r="I135" s="616"/>
      <c r="J135" s="616"/>
      <c r="K135" s="616"/>
      <c r="L135" s="616"/>
      <c r="M135" s="616"/>
      <c r="N135" s="616"/>
      <c r="O135" s="616"/>
      <c r="P135" s="616"/>
      <c r="Q135" s="616"/>
      <c r="R135" s="543"/>
      <c r="S135" s="617"/>
      <c r="T135" s="415"/>
      <c r="U135" s="1298"/>
      <c r="V135" s="129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1935</v>
      </c>
    </row>
    <row r="139" spans="1:83" ht="45" customHeight="1">
      <c r="A139" s="301"/>
      <c r="B139" s="63"/>
      <c r="C139" s="235"/>
      <c r="E139" s="1536"/>
      <c r="F139" s="1169" t="s">
        <v>110</v>
      </c>
      <c r="G139" s="1539" t="s">
        <v>28</v>
      </c>
      <c r="H139" s="67"/>
      <c r="I139" s="363" t="s">
        <v>110</v>
      </c>
      <c r="J139" s="123" t="s">
        <v>1936</v>
      </c>
      <c r="K139" s="148" t="s">
        <v>549</v>
      </c>
      <c r="L139" s="1261" t="s">
        <v>549</v>
      </c>
      <c r="M139" s="1217"/>
      <c r="N139" s="148" t="s">
        <v>549</v>
      </c>
      <c r="O139" s="148" t="s">
        <v>549</v>
      </c>
      <c r="P139" s="148" t="s">
        <v>549</v>
      </c>
      <c r="Q139" s="364">
        <f>SUM(Q140:Q142)</f>
        <v>0</v>
      </c>
      <c r="R139" s="364">
        <f>IF(R136=0,0,(Q136/R136)*100)</f>
        <v>0</v>
      </c>
      <c r="S139" s="1237"/>
      <c r="T139" s="414" t="s">
        <v>615</v>
      </c>
    </row>
    <row r="140" spans="1:83" ht="11.25" customHeight="1">
      <c r="A140" s="301"/>
      <c r="B140" s="63"/>
      <c r="C140" s="235"/>
      <c r="E140" s="1537"/>
      <c r="F140" s="1169"/>
      <c r="G140" s="1539"/>
      <c r="H140" s="1158"/>
      <c r="I140" s="1469" t="s">
        <v>1024</v>
      </c>
      <c r="J140" s="1534"/>
      <c r="K140" s="1535"/>
      <c r="L140" s="105"/>
      <c r="M140" s="365" t="s">
        <v>110</v>
      </c>
      <c r="N140" s="248"/>
      <c r="O140" s="366"/>
      <c r="P140" s="367"/>
      <c r="Q140" s="366"/>
      <c r="R140" s="368">
        <v>0</v>
      </c>
      <c r="S140" s="1237"/>
      <c r="T140" s="414"/>
    </row>
    <row r="141" spans="1:83" ht="11.25" customHeight="1">
      <c r="A141" s="301"/>
      <c r="B141" s="63"/>
      <c r="C141" s="235"/>
      <c r="E141" s="1537"/>
      <c r="F141" s="1169"/>
      <c r="G141" s="1539"/>
      <c r="H141" s="1158"/>
      <c r="I141" s="1469"/>
      <c r="J141" s="1534"/>
      <c r="K141" s="1530"/>
      <c r="L141" s="369"/>
      <c r="M141" s="370"/>
      <c r="N141" s="52" t="s">
        <v>1937</v>
      </c>
      <c r="O141" s="52"/>
      <c r="P141" s="52"/>
      <c r="Q141" s="52"/>
      <c r="R141" s="352"/>
      <c r="S141" s="1237"/>
      <c r="T141" s="414"/>
    </row>
    <row r="142" spans="1:83" ht="11.25" customHeight="1">
      <c r="A142" s="301"/>
      <c r="B142" s="63"/>
      <c r="C142" s="235"/>
      <c r="E142" s="1538"/>
      <c r="F142" s="1169"/>
      <c r="G142" s="1540"/>
      <c r="H142" s="369" t="s">
        <v>28</v>
      </c>
      <c r="I142" s="370"/>
      <c r="J142" s="52" t="s">
        <v>1938</v>
      </c>
      <c r="K142" s="52"/>
      <c r="L142" s="52"/>
      <c r="M142" s="52"/>
      <c r="N142" s="52"/>
      <c r="O142" s="52"/>
      <c r="P142" s="52"/>
      <c r="Q142" s="52"/>
      <c r="R142" s="352"/>
      <c r="S142" s="1237"/>
      <c r="T142" s="414"/>
    </row>
    <row r="147" spans="1:43" ht="11.25" customHeight="1">
      <c r="A147" s="301"/>
      <c r="B147" s="63"/>
      <c r="C147" s="235"/>
      <c r="E147" s="990"/>
      <c r="F147" s="990"/>
      <c r="G147" s="990"/>
      <c r="H147" s="1158"/>
      <c r="I147" s="1469" t="s">
        <v>1024</v>
      </c>
      <c r="J147" s="1534"/>
      <c r="K147" s="1535"/>
      <c r="L147" s="105"/>
      <c r="M147" s="365" t="s">
        <v>110</v>
      </c>
      <c r="N147" s="248"/>
      <c r="O147" s="366"/>
      <c r="P147" s="367"/>
      <c r="Q147" s="366"/>
      <c r="R147" s="368">
        <v>0</v>
      </c>
      <c r="T147" s="414"/>
    </row>
    <row r="148" spans="1:43" ht="11.25" customHeight="1">
      <c r="A148" s="301"/>
      <c r="B148" s="63"/>
      <c r="C148" s="235"/>
      <c r="E148" s="990"/>
      <c r="F148" s="990"/>
      <c r="G148" s="990"/>
      <c r="H148" s="1158"/>
      <c r="I148" s="1469"/>
      <c r="J148" s="1534"/>
      <c r="K148" s="1530"/>
      <c r="L148" s="369"/>
      <c r="M148" s="370"/>
      <c r="N148" s="52" t="s">
        <v>1937</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1939</v>
      </c>
    </row>
    <row r="153" spans="1:43" ht="17.25" customHeight="1">
      <c r="G153" s="997"/>
      <c r="H153" s="997"/>
      <c r="I153" s="997"/>
    </row>
    <row r="154" spans="1:43" s="35" customFormat="1" ht="17.25" customHeight="1">
      <c r="A154" s="188"/>
      <c r="C154" s="77"/>
      <c r="D154" s="1221"/>
      <c r="E154" s="1180"/>
      <c r="F154" s="1193"/>
      <c r="G154" s="1196"/>
      <c r="H154" s="1221"/>
      <c r="I154" s="1221">
        <v>1</v>
      </c>
      <c r="J154" s="1222"/>
      <c r="K154" s="1224" t="s">
        <v>67</v>
      </c>
      <c r="L154" s="1169"/>
      <c r="M154" s="1169" t="s">
        <v>110</v>
      </c>
      <c r="N154" s="1541" t="str">
        <f>IF(Z154="","",INDEX(TERRITORY_MR_LIST,MATCH(Z154,TERRITORY_LIST_ID,0)))</f>
        <v/>
      </c>
      <c r="O154" s="1224" t="s">
        <v>67</v>
      </c>
      <c r="P154" s="1169"/>
      <c r="Q154" s="1169" t="s">
        <v>110</v>
      </c>
      <c r="R154" s="1530" t="s">
        <v>28</v>
      </c>
      <c r="S154" s="1168" t="s">
        <v>67</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1"/>
      <c r="E155" s="1180"/>
      <c r="F155" s="1194"/>
      <c r="G155" s="1196"/>
      <c r="H155" s="1221"/>
      <c r="I155" s="1221"/>
      <c r="J155" s="1222"/>
      <c r="K155" s="1225"/>
      <c r="L155" s="1169"/>
      <c r="M155" s="1169"/>
      <c r="N155" s="1541"/>
      <c r="O155" s="1225"/>
      <c r="P155" s="1169"/>
      <c r="Q155" s="1169"/>
      <c r="R155" s="1530"/>
      <c r="S155" s="1168"/>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92"/>
      <c r="E156" s="1181"/>
      <c r="F156" s="1194"/>
      <c r="G156" s="1197"/>
      <c r="H156" s="1192"/>
      <c r="I156" s="1192"/>
      <c r="J156" s="1223"/>
      <c r="K156" s="1225"/>
      <c r="L156" s="1192"/>
      <c r="M156" s="1192"/>
      <c r="N156" s="1542"/>
      <c r="O156" s="1173"/>
      <c r="P156" s="185"/>
      <c r="Q156" s="186"/>
      <c r="R156" s="186" t="s">
        <v>275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2"/>
      <c r="E157" s="1181"/>
      <c r="F157" s="1194"/>
      <c r="G157" s="1197"/>
      <c r="H157" s="1192"/>
      <c r="I157" s="1192"/>
      <c r="J157" s="1223"/>
      <c r="K157" s="1173"/>
      <c r="L157" s="185"/>
      <c r="M157" s="186"/>
      <c r="N157" s="186" t="s">
        <v>276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2"/>
      <c r="E158" s="1181"/>
      <c r="F158" s="1195"/>
      <c r="G158" s="1197"/>
      <c r="H158" s="185"/>
      <c r="I158" s="186"/>
      <c r="J158" s="186" t="s">
        <v>277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1"/>
      <c r="I160" s="1221">
        <v>1</v>
      </c>
      <c r="J160" s="1222"/>
      <c r="K160" s="1224" t="s">
        <v>67</v>
      </c>
      <c r="L160" s="1169"/>
      <c r="M160" s="1169" t="s">
        <v>110</v>
      </c>
      <c r="N160" s="1541" t="str">
        <f>IF(Z160="","",INDEX(TERRITORY_MR_LIST,MATCH(Z160,TERRITORY_LIST_ID,0)))</f>
        <v/>
      </c>
      <c r="O160" s="1224" t="s">
        <v>67</v>
      </c>
      <c r="P160" s="1169"/>
      <c r="Q160" s="1169" t="s">
        <v>110</v>
      </c>
      <c r="R160" s="1530" t="s">
        <v>28</v>
      </c>
      <c r="S160" s="1168" t="s">
        <v>67</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1"/>
      <c r="I161" s="1221"/>
      <c r="J161" s="1222"/>
      <c r="K161" s="1225"/>
      <c r="L161" s="1169"/>
      <c r="M161" s="1169"/>
      <c r="N161" s="1541"/>
      <c r="O161" s="1225"/>
      <c r="P161" s="1169"/>
      <c r="Q161" s="1169"/>
      <c r="R161" s="1530"/>
      <c r="S161" s="1168"/>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2"/>
      <c r="I162" s="1192"/>
      <c r="J162" s="1223"/>
      <c r="K162" s="1225"/>
      <c r="L162" s="1192"/>
      <c r="M162" s="1192"/>
      <c r="N162" s="1542"/>
      <c r="O162" s="1173"/>
      <c r="P162" s="185"/>
      <c r="Q162" s="186"/>
      <c r="R162" s="186" t="s">
        <v>275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2"/>
      <c r="I163" s="1192"/>
      <c r="J163" s="1223"/>
      <c r="K163" s="1173"/>
      <c r="L163" s="185"/>
      <c r="M163" s="186"/>
      <c r="N163" s="186" t="s">
        <v>276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9"/>
      <c r="M165" s="1169" t="s">
        <v>110</v>
      </c>
      <c r="N165" s="1541" t="str">
        <f>IF(Z165="","",INDEX(TERRITORY_MR_LIST,MATCH(Z165,TERRITORY_LIST_ID,0)))</f>
        <v/>
      </c>
      <c r="O165" s="1224" t="s">
        <v>67</v>
      </c>
      <c r="P165" s="1169"/>
      <c r="Q165" s="1169" t="s">
        <v>110</v>
      </c>
      <c r="R165" s="1530" t="s">
        <v>28</v>
      </c>
      <c r="S165" s="1168" t="s">
        <v>67</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9"/>
      <c r="M166" s="1169"/>
      <c r="N166" s="1541"/>
      <c r="O166" s="1225"/>
      <c r="P166" s="1169"/>
      <c r="Q166" s="1169"/>
      <c r="R166" s="1530"/>
      <c r="S166" s="1168"/>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2"/>
      <c r="M167" s="1192"/>
      <c r="N167" s="1542"/>
      <c r="O167" s="1173"/>
      <c r="P167" s="185"/>
      <c r="Q167" s="186"/>
      <c r="R167" s="186" t="s">
        <v>275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9"/>
      <c r="Q169" s="1169" t="s">
        <v>110</v>
      </c>
      <c r="R169" s="1530" t="s">
        <v>28</v>
      </c>
      <c r="S169" s="1168" t="s">
        <v>67</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9"/>
      <c r="Q170" s="1169"/>
      <c r="R170" s="1530"/>
      <c r="S170" s="1168"/>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1940</v>
      </c>
    </row>
    <row r="175" spans="1:43" ht="17.25" customHeight="1">
      <c r="G175" s="997"/>
      <c r="H175" s="997"/>
      <c r="I175" s="997"/>
    </row>
    <row r="176" spans="1:43" s="35" customFormat="1" ht="17.25" customHeight="1">
      <c r="A176" s="188"/>
      <c r="C176" s="77"/>
      <c r="D176" s="1221"/>
      <c r="E176" s="1180"/>
      <c r="F176" s="1193"/>
      <c r="G176" s="1196"/>
      <c r="H176" s="1221"/>
      <c r="I176" s="1221">
        <v>1</v>
      </c>
      <c r="J176" s="1222"/>
      <c r="K176" s="1224" t="s">
        <v>67</v>
      </c>
      <c r="L176" s="1169"/>
      <c r="M176" s="1169" t="s">
        <v>110</v>
      </c>
      <c r="N176" s="1541" t="str">
        <f>IF(Z176="","",INDEX(TERRITORY_MR_LIST,MATCH(Z176,TERRITORY_LIST_ID,0)))</f>
        <v/>
      </c>
      <c r="O176" s="1224" t="s">
        <v>67</v>
      </c>
      <c r="P176" s="1169"/>
      <c r="Q176" s="1169" t="s">
        <v>110</v>
      </c>
      <c r="R176" s="1530" t="s">
        <v>28</v>
      </c>
      <c r="S176" s="1220" t="s">
        <v>19</v>
      </c>
      <c r="T176" s="816"/>
      <c r="U176" s="816" t="s">
        <v>110</v>
      </c>
      <c r="V176" s="809"/>
      <c r="W176" s="122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1"/>
      <c r="E177" s="1180"/>
      <c r="F177" s="1194"/>
      <c r="G177" s="1196"/>
      <c r="H177" s="1221"/>
      <c r="I177" s="1221"/>
      <c r="J177" s="1222"/>
      <c r="K177" s="1225"/>
      <c r="L177" s="1169"/>
      <c r="M177" s="1169"/>
      <c r="N177" s="1541"/>
      <c r="O177" s="1225"/>
      <c r="P177" s="1169"/>
      <c r="Q177" s="1169"/>
      <c r="R177" s="1530"/>
      <c r="S177" s="1220"/>
      <c r="T177" s="810"/>
      <c r="U177" s="811"/>
      <c r="V177" s="811"/>
      <c r="W177" s="1222"/>
      <c r="Y177" s="17"/>
      <c r="Z177" s="17"/>
      <c r="AA177" s="17"/>
      <c r="AB177" s="17"/>
      <c r="AC177" s="17"/>
      <c r="AD177" s="17"/>
      <c r="AE177" s="17"/>
      <c r="AF177" s="17"/>
      <c r="AG177" s="17"/>
      <c r="AH177" s="17"/>
      <c r="AI177" s="17"/>
      <c r="AJ177" s="17"/>
      <c r="AK177" s="17"/>
    </row>
    <row r="178" spans="1:43" s="35" customFormat="1" ht="17.25" customHeight="1">
      <c r="A178" s="188"/>
      <c r="D178" s="1192"/>
      <c r="E178" s="1181"/>
      <c r="F178" s="1194"/>
      <c r="G178" s="1197"/>
      <c r="H178" s="1192"/>
      <c r="I178" s="1192"/>
      <c r="J178" s="1223"/>
      <c r="K178" s="1225"/>
      <c r="L178" s="1192"/>
      <c r="M178" s="1192"/>
      <c r="N178" s="1542"/>
      <c r="O178" s="1173"/>
      <c r="P178" s="185"/>
      <c r="Q178" s="186"/>
      <c r="R178" s="186" t="s">
        <v>275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2"/>
      <c r="E179" s="1181"/>
      <c r="F179" s="1194"/>
      <c r="G179" s="1197"/>
      <c r="H179" s="1192"/>
      <c r="I179" s="1192"/>
      <c r="J179" s="1223"/>
      <c r="K179" s="1173"/>
      <c r="L179" s="185"/>
      <c r="M179" s="186"/>
      <c r="N179" s="186" t="s">
        <v>276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2"/>
      <c r="E180" s="1181"/>
      <c r="F180" s="1195"/>
      <c r="G180" s="1197"/>
      <c r="H180" s="185"/>
      <c r="I180" s="186"/>
      <c r="J180" s="186" t="s">
        <v>277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1"/>
      <c r="I182" s="1221">
        <v>1</v>
      </c>
      <c r="J182" s="1222"/>
      <c r="K182" s="1224" t="s">
        <v>67</v>
      </c>
      <c r="L182" s="1169"/>
      <c r="M182" s="1169" t="s">
        <v>110</v>
      </c>
      <c r="N182" s="1541" t="str">
        <f>IF(Z182="","",INDEX(TERRITORY_MR_LIST,MATCH(Z182,TERRITORY_LIST_ID,0)))</f>
        <v/>
      </c>
      <c r="O182" s="1224" t="s">
        <v>67</v>
      </c>
      <c r="P182" s="1169"/>
      <c r="Q182" s="1169" t="s">
        <v>110</v>
      </c>
      <c r="R182" s="1530" t="s">
        <v>28</v>
      </c>
      <c r="S182" s="1220" t="s">
        <v>19</v>
      </c>
      <c r="T182" s="816"/>
      <c r="U182" s="816" t="s">
        <v>110</v>
      </c>
      <c r="V182" s="809"/>
      <c r="W182" s="122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1"/>
      <c r="I183" s="1221"/>
      <c r="J183" s="1222"/>
      <c r="K183" s="1225"/>
      <c r="L183" s="1169"/>
      <c r="M183" s="1169"/>
      <c r="N183" s="1541"/>
      <c r="O183" s="1225"/>
      <c r="P183" s="1169"/>
      <c r="Q183" s="1169"/>
      <c r="R183" s="1530"/>
      <c r="S183" s="1220"/>
      <c r="T183" s="810"/>
      <c r="U183" s="811"/>
      <c r="V183" s="811"/>
      <c r="W183" s="122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2"/>
      <c r="I184" s="1192"/>
      <c r="J184" s="1223"/>
      <c r="K184" s="1225"/>
      <c r="L184" s="1192"/>
      <c r="M184" s="1192"/>
      <c r="N184" s="1542"/>
      <c r="O184" s="1173"/>
      <c r="P184" s="185"/>
      <c r="Q184" s="186"/>
      <c r="R184" s="186" t="s">
        <v>275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2"/>
      <c r="I185" s="1192"/>
      <c r="J185" s="1223"/>
      <c r="K185" s="1173"/>
      <c r="L185" s="185"/>
      <c r="M185" s="186"/>
      <c r="N185" s="186" t="s">
        <v>276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9"/>
      <c r="M187" s="1169" t="s">
        <v>110</v>
      </c>
      <c r="N187" s="1541" t="str">
        <f>IF(Z187="","",INDEX(TERRITORY_MR_LIST,MATCH(Z187,TERRITORY_LIST_ID,0)))</f>
        <v/>
      </c>
      <c r="O187" s="1224" t="s">
        <v>67</v>
      </c>
      <c r="P187" s="1169"/>
      <c r="Q187" s="1169" t="s">
        <v>110</v>
      </c>
      <c r="R187" s="1530" t="s">
        <v>28</v>
      </c>
      <c r="S187" s="1220" t="s">
        <v>19</v>
      </c>
      <c r="T187" s="816"/>
      <c r="U187" s="816" t="s">
        <v>110</v>
      </c>
      <c r="V187" s="809"/>
      <c r="W187" s="122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9"/>
      <c r="M188" s="1169"/>
      <c r="N188" s="1541"/>
      <c r="O188" s="1225"/>
      <c r="P188" s="1169"/>
      <c r="Q188" s="1169"/>
      <c r="R188" s="1530"/>
      <c r="S188" s="1220"/>
      <c r="T188" s="810"/>
      <c r="U188" s="811"/>
      <c r="V188" s="811"/>
      <c r="W188" s="122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2"/>
      <c r="M189" s="1192"/>
      <c r="N189" s="1542"/>
      <c r="O189" s="1173"/>
      <c r="P189" s="185"/>
      <c r="Q189" s="186"/>
      <c r="R189" s="186" t="s">
        <v>275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9"/>
      <c r="Q191" s="1169" t="s">
        <v>110</v>
      </c>
      <c r="R191" s="1530" t="s">
        <v>28</v>
      </c>
      <c r="S191" s="1220" t="s">
        <v>19</v>
      </c>
      <c r="T191" s="816"/>
      <c r="U191" s="816" t="s">
        <v>110</v>
      </c>
      <c r="V191" s="809"/>
      <c r="W191" s="122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9"/>
      <c r="Q192" s="1169"/>
      <c r="R192" s="1530"/>
      <c r="S192" s="1220"/>
      <c r="T192" s="810"/>
      <c r="U192" s="811"/>
      <c r="V192" s="811"/>
      <c r="W192" s="122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1"/>
      <c r="E194" s="1237"/>
      <c r="F194" s="1237"/>
      <c r="G194" s="1158"/>
      <c r="H194" s="1182"/>
      <c r="I194" s="1184"/>
      <c r="J194" s="1186"/>
      <c r="K194" s="1178"/>
      <c r="L194" s="1178"/>
      <c r="M194" s="1178"/>
      <c r="N194" s="1189"/>
      <c r="O194" s="1178"/>
      <c r="P194" s="1178"/>
      <c r="Q194" s="1178"/>
      <c r="R194" s="1176"/>
      <c r="S194" s="1178"/>
      <c r="T194" s="804"/>
      <c r="U194" s="804"/>
      <c r="V194" s="803"/>
      <c r="W194" s="746"/>
    </row>
    <row r="195" spans="1:63" ht="16.5" customHeight="1">
      <c r="A195" s="188"/>
      <c r="B195" s="35"/>
      <c r="C195" s="35"/>
      <c r="D195" s="1221"/>
      <c r="E195" s="1237"/>
      <c r="F195" s="1237"/>
      <c r="G195" s="1158"/>
      <c r="H195" s="1183"/>
      <c r="I195" s="1185"/>
      <c r="J195" s="1187"/>
      <c r="K195" s="1179"/>
      <c r="L195" s="1179"/>
      <c r="M195" s="1179"/>
      <c r="N195" s="1190"/>
      <c r="O195" s="1179"/>
      <c r="P195" s="1179"/>
      <c r="Q195" s="1179"/>
      <c r="R195" s="1177"/>
      <c r="S195" s="1179"/>
      <c r="T195" s="747"/>
      <c r="U195" s="747"/>
      <c r="V195" s="747"/>
      <c r="W195" s="748"/>
    </row>
    <row r="196" spans="1:63" ht="17.25" customHeight="1">
      <c r="A196" s="188"/>
      <c r="B196" s="35"/>
      <c r="C196" s="35"/>
      <c r="D196" s="1221"/>
      <c r="E196" s="1237"/>
      <c r="F196" s="1237"/>
      <c r="G196" s="1158"/>
      <c r="H196" s="1183"/>
      <c r="I196" s="1185"/>
      <c r="J196" s="1188"/>
      <c r="K196" s="1179"/>
      <c r="L196" s="1179"/>
      <c r="M196" s="1179"/>
      <c r="N196" s="1177"/>
      <c r="O196" s="1179"/>
      <c r="P196" s="55"/>
      <c r="Q196" s="747"/>
      <c r="R196" s="747"/>
      <c r="S196" s="35"/>
      <c r="T196" s="35"/>
      <c r="U196" s="35"/>
      <c r="V196" s="35"/>
      <c r="W196" s="748"/>
    </row>
    <row r="197" spans="1:63" ht="17.25" customHeight="1">
      <c r="A197" s="188"/>
      <c r="B197" s="35"/>
      <c r="C197" s="35"/>
      <c r="D197" s="1221"/>
      <c r="E197" s="1237"/>
      <c r="F197" s="1237"/>
      <c r="G197" s="1158"/>
      <c r="H197" s="1183"/>
      <c r="I197" s="1185"/>
      <c r="J197" s="1188"/>
      <c r="K197" s="1179"/>
      <c r="L197" s="747"/>
      <c r="M197" s="747"/>
      <c r="N197" s="747"/>
      <c r="O197" s="747"/>
      <c r="P197" s="747"/>
      <c r="Q197" s="747"/>
      <c r="R197" s="747"/>
      <c r="S197" s="35"/>
      <c r="T197" s="35"/>
      <c r="U197" s="35"/>
      <c r="V197" s="35"/>
      <c r="W197" s="748"/>
    </row>
    <row r="198" spans="1:63" ht="17.25" customHeight="1">
      <c r="A198" s="188"/>
      <c r="B198" s="35"/>
      <c r="C198" s="35"/>
      <c r="D198" s="1221"/>
      <c r="E198" s="1237"/>
      <c r="F198" s="1237"/>
      <c r="G198" s="1158"/>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1941</v>
      </c>
    </row>
    <row r="201" spans="1:63" ht="17.25" customHeight="1">
      <c r="G201" s="997"/>
      <c r="H201" s="997"/>
      <c r="I201" s="997"/>
    </row>
    <row r="202" spans="1:63" ht="15" customHeight="1">
      <c r="D202" s="1565"/>
      <c r="E202" s="1232"/>
      <c r="F202" s="1232"/>
      <c r="G202" s="1224"/>
      <c r="H202" s="868"/>
      <c r="I202" s="1566">
        <v>1</v>
      </c>
      <c r="J202" s="1222"/>
      <c r="K202" s="154"/>
      <c r="L202" s="1224" t="s">
        <v>67</v>
      </c>
      <c r="M202" s="1224" t="s">
        <v>67</v>
      </c>
      <c r="N202" s="868"/>
      <c r="O202" s="1169" t="s">
        <v>110</v>
      </c>
      <c r="P202" s="1572"/>
      <c r="Q202" s="154"/>
      <c r="R202" s="1224" t="s">
        <v>67</v>
      </c>
      <c r="S202" s="1224" t="s">
        <v>67</v>
      </c>
      <c r="T202" s="1003"/>
      <c r="U202" s="1169" t="s">
        <v>110</v>
      </c>
      <c r="V202" s="1562" t="str">
        <f>IF(AK202="","",INDEX(TERRITORY_MR_LIST,MATCH(AK202,TERRITORY_LIST_ID,0)))</f>
        <v/>
      </c>
      <c r="W202" s="349"/>
      <c r="X202" s="1224" t="s">
        <v>67</v>
      </c>
      <c r="Y202" s="1224" t="s">
        <v>19</v>
      </c>
      <c r="Z202" s="868"/>
      <c r="AA202" s="1169" t="s">
        <v>110</v>
      </c>
      <c r="AB202" s="1564"/>
      <c r="AC202" s="878"/>
      <c r="AD202" s="1224" t="s">
        <v>67</v>
      </c>
      <c r="AE202" s="1224" t="s">
        <v>19</v>
      </c>
      <c r="AF202" s="349"/>
      <c r="AG202" s="43" t="s">
        <v>110</v>
      </c>
      <c r="AH202" s="874"/>
      <c r="AI202" s="37"/>
    </row>
    <row r="203" spans="1:63" ht="15" customHeight="1">
      <c r="D203" s="1565"/>
      <c r="E203" s="1232"/>
      <c r="F203" s="1232"/>
      <c r="G203" s="1225"/>
      <c r="H203" s="868"/>
      <c r="I203" s="1566"/>
      <c r="J203" s="1222"/>
      <c r="K203" s="867"/>
      <c r="L203" s="1225"/>
      <c r="M203" s="1225"/>
      <c r="N203" s="868"/>
      <c r="O203" s="1169"/>
      <c r="P203" s="1572"/>
      <c r="Q203" s="865"/>
      <c r="R203" s="1225"/>
      <c r="S203" s="1225"/>
      <c r="T203" s="1003"/>
      <c r="U203" s="1169"/>
      <c r="V203" s="1563"/>
      <c r="W203" s="866"/>
      <c r="X203" s="1225"/>
      <c r="Y203" s="1225"/>
      <c r="Z203" s="868"/>
      <c r="AA203" s="1169"/>
      <c r="AB203" s="1499"/>
      <c r="AC203" s="599"/>
      <c r="AD203" s="1173"/>
      <c r="AE203" s="1173"/>
      <c r="AF203" s="869"/>
      <c r="AG203" s="185"/>
      <c r="AH203" s="1568" t="s">
        <v>1942</v>
      </c>
      <c r="AI203" s="1569"/>
    </row>
    <row r="204" spans="1:63" ht="15" customHeight="1">
      <c r="D204" s="1565"/>
      <c r="E204" s="1232"/>
      <c r="F204" s="1232"/>
      <c r="G204" s="1225"/>
      <c r="H204" s="868"/>
      <c r="I204" s="1566"/>
      <c r="J204" s="1222"/>
      <c r="K204" s="867"/>
      <c r="L204" s="1225"/>
      <c r="M204" s="1225"/>
      <c r="N204" s="868"/>
      <c r="O204" s="1169"/>
      <c r="P204" s="1572"/>
      <c r="Q204" s="865"/>
      <c r="R204" s="1225"/>
      <c r="S204" s="1225"/>
      <c r="T204" s="1003"/>
      <c r="U204" s="1169"/>
      <c r="V204" s="1563"/>
      <c r="W204" s="866"/>
      <c r="X204" s="1225"/>
      <c r="Y204" s="1225"/>
      <c r="Z204" s="866"/>
      <c r="AA204" s="871"/>
      <c r="AB204" s="1570" t="s">
        <v>1943</v>
      </c>
      <c r="AC204" s="1570"/>
      <c r="AD204" s="1570"/>
      <c r="AE204" s="1570"/>
      <c r="AF204" s="1570"/>
      <c r="AG204" s="1570"/>
      <c r="AH204" s="1570"/>
      <c r="AI204" s="1571"/>
    </row>
    <row r="205" spans="1:63" ht="15" customHeight="1">
      <c r="D205" s="1565"/>
      <c r="E205" s="1232"/>
      <c r="F205" s="1232"/>
      <c r="G205" s="1225"/>
      <c r="H205" s="868"/>
      <c r="I205" s="1566"/>
      <c r="J205" s="1222"/>
      <c r="K205" s="867"/>
      <c r="L205" s="1225"/>
      <c r="M205" s="1225"/>
      <c r="N205" s="868"/>
      <c r="O205" s="1169"/>
      <c r="P205" s="1573"/>
      <c r="Q205" s="865"/>
      <c r="R205" s="1225"/>
      <c r="S205" s="1225"/>
      <c r="T205" s="1004"/>
      <c r="U205" s="889"/>
      <c r="V205" s="1568" t="s">
        <v>104</v>
      </c>
      <c r="W205" s="1568"/>
      <c r="X205" s="1568"/>
      <c r="Y205" s="1568"/>
      <c r="Z205" s="1568"/>
      <c r="AA205" s="1568"/>
      <c r="AB205" s="1568"/>
      <c r="AC205" s="1568"/>
      <c r="AD205" s="1568"/>
      <c r="AE205" s="1568"/>
      <c r="AF205" s="1568"/>
      <c r="AG205" s="1568"/>
      <c r="AH205" s="1568"/>
      <c r="AI205" s="1569"/>
    </row>
    <row r="206" spans="1:63" ht="11.25" customHeight="1">
      <c r="D206" s="1565"/>
      <c r="E206" s="1232"/>
      <c r="F206" s="1232"/>
      <c r="G206" s="1225"/>
      <c r="H206" s="870"/>
      <c r="I206" s="1566"/>
      <c r="J206" s="1567"/>
      <c r="K206" s="867"/>
      <c r="L206" s="1225"/>
      <c r="M206" s="1225"/>
      <c r="N206" s="870"/>
      <c r="O206" s="871"/>
      <c r="P206" s="1568" t="s">
        <v>1944</v>
      </c>
      <c r="Q206" s="1568"/>
      <c r="R206" s="1568"/>
      <c r="S206" s="1568"/>
      <c r="T206" s="1568"/>
      <c r="U206" s="1568"/>
      <c r="V206" s="1568"/>
      <c r="W206" s="1568"/>
      <c r="X206" s="1568"/>
      <c r="Y206" s="1568"/>
      <c r="Z206" s="1568"/>
      <c r="AA206" s="1568"/>
      <c r="AB206" s="1568"/>
      <c r="AC206" s="1568"/>
      <c r="AD206" s="1568"/>
      <c r="AE206" s="1568"/>
      <c r="AF206" s="1568"/>
      <c r="AG206" s="1568"/>
      <c r="AH206" s="1568"/>
      <c r="AI206" s="1569"/>
    </row>
    <row r="207" spans="1:63" s="860" customFormat="1" ht="11.25" customHeight="1">
      <c r="D207" s="1565"/>
      <c r="E207" s="1232"/>
      <c r="F207" s="1232"/>
      <c r="G207" s="1173"/>
      <c r="H207" s="872"/>
      <c r="I207" s="873"/>
      <c r="J207" s="1568" t="s">
        <v>277</v>
      </c>
      <c r="K207" s="1568"/>
      <c r="L207" s="1568"/>
      <c r="M207" s="1568"/>
      <c r="N207" s="1568"/>
      <c r="O207" s="1568"/>
      <c r="P207" s="1568"/>
      <c r="Q207" s="1568"/>
      <c r="R207" s="1568"/>
      <c r="S207" s="1568"/>
      <c r="T207" s="1568"/>
      <c r="U207" s="1568"/>
      <c r="V207" s="1568"/>
      <c r="W207" s="1568"/>
      <c r="X207" s="1568"/>
      <c r="Y207" s="1568"/>
      <c r="Z207" s="1568"/>
      <c r="AA207" s="1568"/>
      <c r="AB207" s="1568"/>
      <c r="AC207" s="1568"/>
      <c r="AD207" s="1568"/>
      <c r="AE207" s="1568"/>
      <c r="AF207" s="1568"/>
      <c r="AG207" s="1568"/>
      <c r="AH207" s="1568"/>
      <c r="AI207" s="1569"/>
      <c r="BK207"/>
    </row>
    <row r="208" spans="1:63" ht="17.25" customHeight="1">
      <c r="G208" s="997"/>
      <c r="I208" s="997"/>
      <c r="J208" s="997"/>
    </row>
    <row r="209" spans="4:63" ht="15" customHeight="1">
      <c r="D209" s="1565"/>
      <c r="E209" s="1232"/>
      <c r="F209" s="1232"/>
      <c r="G209" s="1237"/>
      <c r="H209" s="885"/>
      <c r="I209" s="1240"/>
      <c r="J209" s="1186"/>
      <c r="K209" s="833"/>
      <c r="L209" s="1178"/>
      <c r="M209" s="1178"/>
      <c r="N209" s="879"/>
      <c r="O209" s="1178"/>
      <c r="P209" s="1186"/>
      <c r="Q209" s="833"/>
      <c r="R209" s="1178"/>
      <c r="S209" s="1178"/>
      <c r="T209" s="880"/>
      <c r="U209" s="1178"/>
      <c r="V209" s="1186"/>
      <c r="W209" s="804"/>
      <c r="X209" s="1178"/>
      <c r="Y209" s="1178"/>
      <c r="Z209" s="879"/>
      <c r="AA209" s="1178"/>
      <c r="AB209" s="1186"/>
      <c r="AC209" s="881"/>
      <c r="AD209" s="1178"/>
      <c r="AE209" s="1178"/>
      <c r="AF209" s="804"/>
      <c r="AG209" s="804"/>
      <c r="AH209" s="879"/>
      <c r="AI209" s="746"/>
    </row>
    <row r="210" spans="4:63" ht="15" customHeight="1">
      <c r="D210" s="1565"/>
      <c r="E210" s="1232"/>
      <c r="F210" s="1232"/>
      <c r="G210" s="1237"/>
      <c r="H210" s="886"/>
      <c r="I210" s="1241"/>
      <c r="J210" s="1187"/>
      <c r="K210" s="342"/>
      <c r="L210" s="1179"/>
      <c r="M210" s="1179"/>
      <c r="N210" s="33"/>
      <c r="O210" s="1179"/>
      <c r="P210" s="1187"/>
      <c r="Q210" s="383"/>
      <c r="R210" s="1179"/>
      <c r="S210" s="1179"/>
      <c r="T210" s="882"/>
      <c r="U210" s="1179"/>
      <c r="V210" s="1187"/>
      <c r="W210" s="55"/>
      <c r="X210" s="1179"/>
      <c r="Y210" s="1179"/>
      <c r="Z210" s="33"/>
      <c r="AA210" s="1179"/>
      <c r="AB210" s="1187"/>
      <c r="AC210" s="342"/>
      <c r="AD210" s="1179"/>
      <c r="AE210" s="1179"/>
      <c r="AF210" s="747"/>
      <c r="AG210" s="747"/>
      <c r="AH210" s="1244"/>
      <c r="AI210" s="1245"/>
    </row>
    <row r="211" spans="4:63" ht="15" customHeight="1">
      <c r="D211" s="1565"/>
      <c r="E211" s="1232"/>
      <c r="F211" s="1232"/>
      <c r="G211" s="1237"/>
      <c r="H211" s="886"/>
      <c r="I211" s="1241"/>
      <c r="J211" s="1187"/>
      <c r="K211" s="342"/>
      <c r="L211" s="1179"/>
      <c r="M211" s="1179"/>
      <c r="N211" s="33"/>
      <c r="O211" s="1179"/>
      <c r="P211" s="1187"/>
      <c r="Q211" s="383"/>
      <c r="R211" s="1179"/>
      <c r="S211" s="1179"/>
      <c r="T211" s="882"/>
      <c r="U211" s="1179"/>
      <c r="V211" s="1187"/>
      <c r="W211" s="55"/>
      <c r="X211" s="1179"/>
      <c r="Y211" s="1179"/>
      <c r="Z211" s="55"/>
      <c r="AA211" s="747"/>
      <c r="AB211" s="1244"/>
      <c r="AC211" s="1244"/>
      <c r="AD211" s="1244"/>
      <c r="AE211" s="1244"/>
      <c r="AF211" s="1244"/>
      <c r="AG211" s="1244"/>
      <c r="AH211" s="1244"/>
      <c r="AI211" s="1245"/>
    </row>
    <row r="212" spans="4:63" ht="15" customHeight="1">
      <c r="D212" s="1565"/>
      <c r="E212" s="1232"/>
      <c r="F212" s="1232"/>
      <c r="G212" s="1237"/>
      <c r="H212" s="886"/>
      <c r="I212" s="1241"/>
      <c r="J212" s="1187"/>
      <c r="K212" s="342"/>
      <c r="L212" s="1179"/>
      <c r="M212" s="1179"/>
      <c r="N212" s="33"/>
      <c r="O212" s="1179"/>
      <c r="P212" s="1187"/>
      <c r="Q212" s="383"/>
      <c r="R212" s="1179"/>
      <c r="S212" s="1179"/>
      <c r="T212" s="50"/>
      <c r="U212" s="883"/>
      <c r="V212" s="1244"/>
      <c r="W212" s="1244"/>
      <c r="X212" s="1244"/>
      <c r="Y212" s="1244"/>
      <c r="Z212" s="1244"/>
      <c r="AA212" s="1244"/>
      <c r="AB212" s="1244"/>
      <c r="AC212" s="1244"/>
      <c r="AD212" s="1244"/>
      <c r="AE212" s="1244"/>
      <c r="AF212" s="1244"/>
      <c r="AG212" s="1244"/>
      <c r="AH212" s="1244"/>
      <c r="AI212" s="1245"/>
    </row>
    <row r="213" spans="4:63" ht="11.25" customHeight="1">
      <c r="D213" s="1565"/>
      <c r="E213" s="1232"/>
      <c r="F213" s="1232"/>
      <c r="G213" s="1237"/>
      <c r="H213" s="887"/>
      <c r="I213" s="1241"/>
      <c r="J213" s="1187"/>
      <c r="K213" s="342"/>
      <c r="L213" s="1179"/>
      <c r="M213" s="1179"/>
      <c r="N213" s="747"/>
      <c r="O213" s="747"/>
      <c r="P213" s="1244"/>
      <c r="Q213" s="1244"/>
      <c r="R213" s="1244"/>
      <c r="S213" s="1244"/>
      <c r="T213" s="1244"/>
      <c r="U213" s="1244"/>
      <c r="V213" s="1244"/>
      <c r="W213" s="1244"/>
      <c r="X213" s="1244"/>
      <c r="Y213" s="1244"/>
      <c r="Z213" s="1244"/>
      <c r="AA213" s="1244"/>
      <c r="AB213" s="1244"/>
      <c r="AC213" s="1244"/>
      <c r="AD213" s="1244"/>
      <c r="AE213" s="1244"/>
      <c r="AF213" s="1244"/>
      <c r="AG213" s="1244"/>
      <c r="AH213" s="1244"/>
      <c r="AI213" s="1245"/>
    </row>
    <row r="214" spans="4:63" s="860" customFormat="1" ht="11.25" customHeight="1">
      <c r="D214" s="1565"/>
      <c r="E214" s="1232"/>
      <c r="F214" s="1232"/>
      <c r="G214" s="1246"/>
      <c r="H214" s="884"/>
      <c r="I214" s="888"/>
      <c r="J214" s="1242"/>
      <c r="K214" s="1242"/>
      <c r="L214" s="1242"/>
      <c r="M214" s="1242"/>
      <c r="N214" s="1242"/>
      <c r="O214" s="1242"/>
      <c r="P214" s="1242"/>
      <c r="Q214" s="1242"/>
      <c r="R214" s="1242"/>
      <c r="S214" s="1242"/>
      <c r="T214" s="1242"/>
      <c r="U214" s="1242"/>
      <c r="V214" s="1242"/>
      <c r="W214" s="1242"/>
      <c r="X214" s="1242"/>
      <c r="Y214" s="1242"/>
      <c r="Z214" s="1242"/>
      <c r="AA214" s="1242"/>
      <c r="AB214" s="1242"/>
      <c r="AC214" s="1242"/>
      <c r="AD214" s="1242"/>
      <c r="AE214" s="1242"/>
      <c r="AF214" s="1242"/>
      <c r="AG214" s="1242"/>
      <c r="AH214" s="1242"/>
      <c r="AI214" s="124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477"/>
    <col min="2" max="2" width="43.125" style="477" hidden="1"/>
    <col min="3" max="3" width="43.125" style="477"/>
    <col min="4" max="5" width="36.375" style="477" customWidth="1"/>
    <col min="6" max="8" width="36.375" style="566" customWidth="1"/>
  </cols>
  <sheetData>
    <row r="1" spans="1:8" ht="9" customHeight="1">
      <c r="A1" s="483" t="s">
        <v>1945</v>
      </c>
      <c r="B1" s="483"/>
      <c r="C1" s="567" t="s">
        <v>1946</v>
      </c>
      <c r="D1" s="565" t="s">
        <v>810</v>
      </c>
      <c r="E1" s="565" t="s">
        <v>856</v>
      </c>
      <c r="F1" s="565" t="s">
        <v>909</v>
      </c>
      <c r="G1" s="565" t="s">
        <v>896</v>
      </c>
      <c r="H1" s="565" t="s">
        <v>1621</v>
      </c>
    </row>
    <row r="2" spans="1:8" ht="9" customHeight="1">
      <c r="A2" s="568" t="s">
        <v>1947</v>
      </c>
      <c r="B2" s="568"/>
      <c r="C2" s="569" t="str">
        <f>INDEX(TEMPLATE_NUMBER_FORM_LIST,MATCH(TEMPLATE_SPHERE,TEMPLATE_SPHERE_LIST,0))</f>
        <v>10</v>
      </c>
      <c r="D2" s="568" t="s">
        <v>1470</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1948</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1949</v>
      </c>
      <c r="B4" s="483" t="s">
        <v>111</v>
      </c>
      <c r="C4" s="569" t="str">
        <f>IF(TEMPLATE_SPHERE="HEAT",D4,IF(TEMPLATE_SPHERE="TKO",H4,E4))</f>
        <v>Форма 1. Информация об организации, осуществляющей водоотведение (общая информация)</v>
      </c>
      <c r="D4" s="568" t="s">
        <v>1950</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1951</v>
      </c>
    </row>
    <row r="5" spans="1:8" ht="117" customHeight="1">
      <c r="A5" s="483" t="s">
        <v>1952</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1953</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1954</v>
      </c>
    </row>
    <row r="6" spans="1:8" ht="90" customHeight="1">
      <c r="A6" s="483" t="s">
        <v>1955</v>
      </c>
      <c r="B6" s="483" t="s">
        <v>92</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1956</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1957</v>
      </c>
      <c r="E7" s="483" t="s">
        <v>1958</v>
      </c>
      <c r="F7" s="571"/>
      <c r="G7" s="571"/>
      <c r="H7" s="571"/>
    </row>
    <row r="8" spans="1:8" ht="108" customHeight="1">
      <c r="A8" s="483" t="s">
        <v>1959</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1960</v>
      </c>
      <c r="F8" s="571"/>
      <c r="G8" s="571"/>
      <c r="H8" s="571"/>
    </row>
    <row r="9" spans="1:8" ht="99" customHeight="1">
      <c r="A9" s="483" t="s">
        <v>1961</v>
      </c>
      <c r="B9" s="483"/>
      <c r="C9" s="483" t="s">
        <v>1962</v>
      </c>
      <c r="D9" s="483"/>
      <c r="E9" s="483"/>
      <c r="F9" s="571"/>
      <c r="G9" s="571"/>
      <c r="H9" s="571"/>
    </row>
    <row r="10" spans="1:8" ht="126" customHeight="1">
      <c r="A10" s="483" t="s">
        <v>1963</v>
      </c>
      <c r="B10" s="483"/>
      <c r="C10" s="483" t="s">
        <v>1964</v>
      </c>
      <c r="D10" s="483"/>
      <c r="E10" s="483"/>
      <c r="F10" s="571"/>
      <c r="G10" s="571"/>
      <c r="H10" s="571"/>
    </row>
    <row r="11" spans="1:8" ht="108" customHeight="1">
      <c r="A11" s="483" t="s">
        <v>1965</v>
      </c>
      <c r="B11" s="483"/>
      <c r="C11" s="483" t="s">
        <v>1966</v>
      </c>
      <c r="D11" s="483"/>
      <c r="E11" s="483"/>
      <c r="F11" s="571"/>
      <c r="G11" s="571"/>
      <c r="H11" s="571"/>
    </row>
    <row r="12" spans="1:8" ht="54" customHeight="1">
      <c r="A12" s="483" t="s">
        <v>1967</v>
      </c>
      <c r="B12" s="483"/>
      <c r="C12" s="483" t="s">
        <v>1968</v>
      </c>
      <c r="D12" s="483"/>
      <c r="E12" s="483"/>
      <c r="F12" s="571"/>
      <c r="G12" s="571"/>
      <c r="H12" s="571"/>
    </row>
    <row r="13" spans="1:8" ht="45" customHeight="1">
      <c r="A13" s="483" t="s">
        <v>1969</v>
      </c>
      <c r="B13" s="483"/>
      <c r="C13" s="483" t="s">
        <v>1970</v>
      </c>
      <c r="D13" s="483"/>
      <c r="E13" s="483"/>
      <c r="F13" s="571"/>
      <c r="G13" s="571"/>
      <c r="H13" s="571"/>
    </row>
    <row r="14" spans="1:8" ht="117" customHeight="1">
      <c r="A14" s="483" t="s">
        <v>1971</v>
      </c>
      <c r="B14" s="483"/>
      <c r="C14" s="483" t="s">
        <v>1972</v>
      </c>
      <c r="D14" s="483"/>
      <c r="E14" s="483"/>
      <c r="F14" s="571"/>
      <c r="G14" s="571"/>
      <c r="H14" s="571"/>
    </row>
    <row r="15" spans="1:8" ht="117" customHeight="1">
      <c r="A15" s="483" t="s">
        <v>1973</v>
      </c>
      <c r="B15" s="483"/>
      <c r="C15" s="483" t="s">
        <v>1974</v>
      </c>
      <c r="D15" s="483"/>
      <c r="E15" s="483"/>
      <c r="F15" s="571"/>
      <c r="G15" s="571"/>
      <c r="H15" s="571"/>
    </row>
    <row r="16" spans="1:8" ht="63" customHeight="1">
      <c r="A16" s="483" t="s">
        <v>1975</v>
      </c>
      <c r="B16" s="483"/>
      <c r="C16" s="483" t="s">
        <v>1976</v>
      </c>
      <c r="D16" s="483"/>
      <c r="E16" s="483"/>
      <c r="F16" s="571"/>
      <c r="G16" s="571"/>
      <c r="H16" s="571"/>
    </row>
    <row r="17" spans="1:8" ht="54" customHeight="1">
      <c r="A17" s="483" t="s">
        <v>1977</v>
      </c>
      <c r="B17" s="483"/>
      <c r="C17" s="569" t="s">
        <v>1978</v>
      </c>
      <c r="D17" s="483"/>
      <c r="E17" s="483"/>
      <c r="F17" s="571"/>
      <c r="G17" s="571"/>
      <c r="H17" s="571"/>
    </row>
    <row r="18" spans="1:8" ht="27" customHeight="1">
      <c r="A18" s="483" t="s">
        <v>1979</v>
      </c>
      <c r="B18" s="483"/>
      <c r="C18" s="569" t="s">
        <v>1980</v>
      </c>
      <c r="D18" s="483"/>
      <c r="E18" s="483"/>
      <c r="F18" s="571"/>
      <c r="G18" s="571"/>
      <c r="H18" s="571"/>
    </row>
    <row r="19" spans="1:8" ht="54" customHeight="1">
      <c r="A19" s="483" t="s">
        <v>1981</v>
      </c>
      <c r="B19" s="483"/>
      <c r="C19" s="569" t="s">
        <v>1982</v>
      </c>
      <c r="D19" s="483"/>
      <c r="E19" s="483"/>
      <c r="F19" s="571"/>
      <c r="G19" s="571"/>
      <c r="H19" s="571"/>
    </row>
    <row r="20" spans="1:8" ht="36" customHeight="1">
      <c r="A20" s="483" t="s">
        <v>1983</v>
      </c>
      <c r="B20" s="483"/>
      <c r="C20" s="569" t="s">
        <v>1984</v>
      </c>
      <c r="D20" s="483"/>
      <c r="E20" s="483"/>
      <c r="F20" s="571"/>
      <c r="G20" s="571"/>
      <c r="H20" s="571"/>
    </row>
    <row r="21" spans="1:8" ht="36" customHeight="1">
      <c r="A21" s="483" t="s">
        <v>1985</v>
      </c>
      <c r="B21" s="483"/>
      <c r="C21" s="569" t="s">
        <v>1986</v>
      </c>
      <c r="D21" s="483"/>
      <c r="E21" s="483"/>
      <c r="F21" s="571"/>
      <c r="G21" s="571"/>
      <c r="H21" s="571"/>
    </row>
    <row r="22" spans="1:8" ht="27" customHeight="1">
      <c r="A22" s="483" t="s">
        <v>1987</v>
      </c>
      <c r="B22" s="483"/>
      <c r="C22" s="569" t="s">
        <v>1988</v>
      </c>
      <c r="D22" s="483"/>
      <c r="E22" s="483"/>
      <c r="F22" s="571"/>
      <c r="G22" s="571"/>
      <c r="H22" s="571"/>
    </row>
    <row r="23" spans="1:8" ht="36" customHeight="1">
      <c r="A23" s="483" t="s">
        <v>1989</v>
      </c>
      <c r="B23" s="483"/>
      <c r="C23" s="569" t="s">
        <v>1990</v>
      </c>
      <c r="D23" s="483"/>
      <c r="E23" s="483"/>
      <c r="F23" s="571"/>
      <c r="G23" s="571"/>
      <c r="H23" s="571"/>
    </row>
    <row r="24" spans="1:8" ht="28.5" customHeight="1">
      <c r="A24" s="483" t="s">
        <v>1991</v>
      </c>
      <c r="B24" s="483"/>
      <c r="C24" s="569" t="s">
        <v>1992</v>
      </c>
      <c r="D24" s="483"/>
      <c r="E24" s="483"/>
      <c r="F24" s="571"/>
      <c r="G24" s="571"/>
      <c r="H24" s="571"/>
    </row>
    <row r="25" spans="1:8" ht="36" customHeight="1">
      <c r="A25" s="483" t="s">
        <v>1993</v>
      </c>
      <c r="B25" s="483"/>
      <c r="C25" s="569" t="s">
        <v>1994</v>
      </c>
      <c r="D25" s="483"/>
      <c r="E25" s="483"/>
      <c r="F25" s="571"/>
      <c r="G25" s="571"/>
      <c r="H25" s="571"/>
    </row>
    <row r="26" spans="1:8" ht="27" customHeight="1">
      <c r="A26" s="483" t="s">
        <v>1995</v>
      </c>
      <c r="B26" s="483"/>
      <c r="C26" s="569" t="s">
        <v>1996</v>
      </c>
      <c r="D26" s="483"/>
      <c r="E26" s="483"/>
      <c r="F26" s="571"/>
      <c r="G26" s="571"/>
      <c r="H26" s="571"/>
    </row>
    <row r="27" spans="1:8" ht="36" customHeight="1">
      <c r="A27" s="483" t="s">
        <v>1997</v>
      </c>
      <c r="B27" s="483"/>
      <c r="C27" s="569" t="s">
        <v>1998</v>
      </c>
      <c r="D27" s="483"/>
      <c r="E27" s="483"/>
      <c r="F27" s="571"/>
      <c r="G27" s="571"/>
      <c r="H27" s="571"/>
    </row>
    <row r="28" spans="1:8" ht="28.5" customHeight="1">
      <c r="A28" s="483" t="s">
        <v>1999</v>
      </c>
      <c r="B28" s="483"/>
      <c r="C28" s="569" t="s">
        <v>2000</v>
      </c>
      <c r="D28" s="483"/>
      <c r="E28" s="483"/>
      <c r="F28" s="571"/>
      <c r="G28" s="571"/>
      <c r="H28" s="571"/>
    </row>
    <row r="29" spans="1:8" ht="126" customHeight="1">
      <c r="A29" s="483" t="s">
        <v>2001</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2002</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2003</v>
      </c>
    </row>
    <row r="30" spans="1:8" ht="36" customHeight="1">
      <c r="A30" s="483" t="s">
        <v>2004</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2005</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2006</v>
      </c>
      <c r="B31" s="483"/>
      <c r="C31" s="569" t="str">
        <f>IF(TEMPLATE_SPHERE="HEAT",D31,IF(TEMPLATE_SPHERE="TKO",H31,E31))</f>
        <v>Форма 1. Информация об организации, осуществляющей водоотведение (общая информация)</v>
      </c>
      <c r="D31" s="483" t="s">
        <v>2007</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2008</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2009</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2010</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477"/>
    <col min="3" max="7" width="8" style="479" customWidth="1"/>
    <col min="8" max="12" width="8.625" style="479" customWidth="1"/>
    <col min="13" max="14" width="27.75" style="479" customWidth="1"/>
    <col min="15" max="19" width="5.125" style="479" customWidth="1"/>
    <col min="20" max="24" width="27.75" style="479" customWidth="1"/>
    <col min="25" max="25" width="1.875" style="586" customWidth="1"/>
    <col min="26" max="26" width="27.75" style="477" customWidth="1"/>
    <col min="27" max="27" width="27.75" style="488" customWidth="1"/>
    <col min="28" max="29" width="27.75" style="477" customWidth="1"/>
    <col min="30" max="30" width="3.875" style="477" customWidth="1"/>
    <col min="31" max="34" width="9.125" style="477"/>
  </cols>
  <sheetData>
    <row r="1" spans="1:34" s="476" customFormat="1" ht="18" customHeight="1">
      <c r="A1" s="520"/>
      <c r="B1" s="520"/>
      <c r="C1" s="520" t="s">
        <v>2011</v>
      </c>
      <c r="D1" s="520"/>
      <c r="E1" s="520"/>
      <c r="F1" s="520"/>
      <c r="G1" s="520"/>
      <c r="H1" s="520" t="s">
        <v>2012</v>
      </c>
      <c r="I1" s="520"/>
      <c r="J1" s="520"/>
      <c r="K1" s="520"/>
      <c r="L1" s="520"/>
      <c r="M1" s="520" t="s">
        <v>2013</v>
      </c>
      <c r="N1" s="520" t="s">
        <v>2014</v>
      </c>
      <c r="O1" s="1578" t="s">
        <v>2015</v>
      </c>
      <c r="P1" s="1578"/>
      <c r="Q1" s="1578"/>
      <c r="R1" s="1578"/>
      <c r="S1" s="1578"/>
      <c r="T1" s="1578" t="s">
        <v>2013</v>
      </c>
      <c r="U1" s="1578"/>
      <c r="V1" s="1578"/>
      <c r="W1" s="1578"/>
      <c r="X1" s="1578"/>
      <c r="Y1" s="584"/>
      <c r="Z1" s="1578" t="s">
        <v>2016</v>
      </c>
      <c r="AA1" s="1578"/>
      <c r="AB1" s="1578"/>
      <c r="AC1" s="1578"/>
      <c r="AD1" s="1578"/>
    </row>
    <row r="2" spans="1:34" ht="18" customHeight="1">
      <c r="A2" s="483"/>
      <c r="B2" s="483"/>
      <c r="C2" s="478" t="s">
        <v>810</v>
      </c>
      <c r="D2" s="478" t="s">
        <v>856</v>
      </c>
      <c r="E2" s="478" t="s">
        <v>909</v>
      </c>
      <c r="F2" s="478" t="s">
        <v>896</v>
      </c>
      <c r="G2" s="478" t="s">
        <v>1621</v>
      </c>
      <c r="H2" s="480"/>
      <c r="I2" s="480"/>
      <c r="J2" s="480"/>
      <c r="K2" s="480"/>
      <c r="L2" s="480"/>
      <c r="M2" s="480"/>
      <c r="N2" s="480"/>
      <c r="O2" s="478" t="s">
        <v>810</v>
      </c>
      <c r="P2" s="478" t="s">
        <v>856</v>
      </c>
      <c r="Q2" s="478" t="s">
        <v>896</v>
      </c>
      <c r="R2" s="478" t="s">
        <v>909</v>
      </c>
      <c r="S2" s="478" t="s">
        <v>1621</v>
      </c>
      <c r="T2" s="478" t="s">
        <v>810</v>
      </c>
      <c r="U2" s="478" t="s">
        <v>856</v>
      </c>
      <c r="V2" s="478" t="s">
        <v>896</v>
      </c>
      <c r="W2" s="478" t="s">
        <v>909</v>
      </c>
      <c r="X2" s="478" t="s">
        <v>1621</v>
      </c>
      <c r="Y2" s="478"/>
      <c r="Z2" s="478" t="s">
        <v>810</v>
      </c>
      <c r="AA2" s="487" t="s">
        <v>856</v>
      </c>
      <c r="AB2" s="478" t="s">
        <v>896</v>
      </c>
      <c r="AC2" s="478" t="s">
        <v>909</v>
      </c>
      <c r="AD2" s="478" t="s">
        <v>1621</v>
      </c>
    </row>
    <row r="3" spans="1:34" ht="162" customHeight="1">
      <c r="A3" s="482" t="s">
        <v>26</v>
      </c>
      <c r="B3" s="482"/>
      <c r="C3" s="1582" t="s">
        <v>2017</v>
      </c>
      <c r="D3" s="1583"/>
      <c r="E3" s="1583"/>
      <c r="F3" s="158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2018</v>
      </c>
      <c r="AA3" s="480" t="s">
        <v>2019</v>
      </c>
      <c r="AB3" s="483" t="s">
        <v>2020</v>
      </c>
      <c r="AC3" s="483" t="s">
        <v>2021</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9" t="s">
        <v>33</v>
      </c>
      <c r="B11" s="521">
        <v>1</v>
      </c>
      <c r="C11" s="1585" t="s">
        <v>1559</v>
      </c>
      <c r="D11" s="1585" t="s">
        <v>1555</v>
      </c>
      <c r="E11" s="1585" t="s">
        <v>1654</v>
      </c>
      <c r="F11" s="1585" t="s">
        <v>2022</v>
      </c>
      <c r="G11" s="1585"/>
      <c r="H11" s="520" t="s">
        <v>2023</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2024</v>
      </c>
      <c r="U11" s="480" t="s">
        <v>2025</v>
      </c>
      <c r="V11" s="480"/>
      <c r="W11" s="480"/>
      <c r="X11" s="480"/>
      <c r="Y11" s="585"/>
      <c r="Z11" s="483" t="s">
        <v>2026</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79"/>
      <c r="B12" s="521">
        <v>2</v>
      </c>
      <c r="C12" s="1586"/>
      <c r="D12" s="1586"/>
      <c r="E12" s="1586"/>
      <c r="F12" s="1586"/>
      <c r="G12" s="1586"/>
      <c r="H12" s="520" t="s">
        <v>2027</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2028</v>
      </c>
      <c r="U12" s="480" t="s">
        <v>2029</v>
      </c>
      <c r="V12" s="480"/>
      <c r="W12" s="480"/>
      <c r="X12" s="480"/>
      <c r="Y12" s="585"/>
      <c r="Z12" s="483" t="s">
        <v>2030</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79"/>
      <c r="B13" s="521">
        <v>3</v>
      </c>
      <c r="C13" s="1586"/>
      <c r="D13" s="1586"/>
      <c r="E13" s="1586"/>
      <c r="F13" s="1586"/>
      <c r="G13" s="1586"/>
      <c r="H13" s="1578" t="s">
        <v>2031</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2032</v>
      </c>
      <c r="U13" s="481" t="s">
        <v>2033</v>
      </c>
      <c r="V13" s="481"/>
      <c r="W13" s="481"/>
      <c r="X13" s="480"/>
      <c r="Y13" s="585"/>
      <c r="Z13" s="483" t="s">
        <v>2034</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79"/>
      <c r="B14" s="521">
        <v>4</v>
      </c>
      <c r="C14" s="1586"/>
      <c r="D14" s="1586"/>
      <c r="E14" s="1586"/>
      <c r="F14" s="1586"/>
      <c r="G14" s="1586"/>
      <c r="H14" s="157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2035</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2036</v>
      </c>
      <c r="AA14" s="486" t="s">
        <v>2036</v>
      </c>
      <c r="AB14" s="483"/>
      <c r="AC14" s="483"/>
      <c r="AD14" s="483"/>
    </row>
    <row r="15" spans="1:34" ht="108" customHeight="1">
      <c r="A15" s="1579"/>
      <c r="B15" s="521">
        <v>5</v>
      </c>
      <c r="C15" s="1586"/>
      <c r="D15" s="1586"/>
      <c r="E15" s="1586"/>
      <c r="F15" s="1586"/>
      <c r="G15" s="1586"/>
      <c r="H15" s="1580" t="s">
        <v>2037</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2038</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2039</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87"/>
      <c r="D16" s="1587"/>
      <c r="E16" s="1587"/>
      <c r="F16" s="1587"/>
      <c r="G16" s="1587"/>
      <c r="H16" s="1581"/>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2039</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1657</v>
      </c>
      <c r="B18" s="521">
        <v>1</v>
      </c>
      <c r="C18" s="480" t="s">
        <v>2023</v>
      </c>
      <c r="D18" s="555" t="s">
        <v>2023</v>
      </c>
      <c r="E18" s="480" t="s">
        <v>2023</v>
      </c>
      <c r="F18" s="480" t="s">
        <v>2023</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2040</v>
      </c>
      <c r="U18" s="483" t="s">
        <v>2041</v>
      </c>
      <c r="V18" s="483" t="s">
        <v>2042</v>
      </c>
      <c r="W18" s="483" t="s">
        <v>2043</v>
      </c>
      <c r="X18" s="480"/>
      <c r="Y18" s="585"/>
      <c r="Z18" s="483" t="s">
        <v>2044</v>
      </c>
      <c r="AA18" s="486" t="s">
        <v>2045</v>
      </c>
      <c r="AB18" s="486" t="s">
        <v>2045</v>
      </c>
      <c r="AC18" s="486" t="s">
        <v>2045</v>
      </c>
      <c r="AD18" s="483"/>
    </row>
    <row r="19" spans="1:30" ht="36" customHeight="1">
      <c r="A19" s="482"/>
      <c r="B19" s="521">
        <v>2</v>
      </c>
      <c r="C19" s="480" t="s">
        <v>2027</v>
      </c>
      <c r="D19" s="555" t="s">
        <v>2027</v>
      </c>
      <c r="E19" s="480" t="s">
        <v>2027</v>
      </c>
      <c r="F19" s="480" t="s">
        <v>2027</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2046</v>
      </c>
      <c r="U19" s="483" t="s">
        <v>2047</v>
      </c>
      <c r="V19" s="483" t="s">
        <v>2048</v>
      </c>
      <c r="W19" s="483" t="s">
        <v>2049</v>
      </c>
      <c r="X19" s="480"/>
      <c r="Y19" s="585"/>
      <c r="Z19" s="483" t="s">
        <v>2050</v>
      </c>
      <c r="AA19" s="486" t="s">
        <v>2050</v>
      </c>
      <c r="AB19" s="486" t="s">
        <v>2050</v>
      </c>
      <c r="AC19" s="486" t="s">
        <v>2050</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711</v>
      </c>
      <c r="P20" s="545" t="s">
        <v>711</v>
      </c>
      <c r="Q20" s="545" t="s">
        <v>711</v>
      </c>
      <c r="R20" s="545" t="s">
        <v>711</v>
      </c>
      <c r="S20" s="545"/>
      <c r="T20" s="552" t="s">
        <v>2051</v>
      </c>
      <c r="U20" s="483" t="s">
        <v>2052</v>
      </c>
      <c r="V20" s="483" t="s">
        <v>2053</v>
      </c>
      <c r="W20" s="483" t="s">
        <v>2054</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2055</v>
      </c>
      <c r="U21" s="483"/>
      <c r="V21" s="483"/>
      <c r="W21" s="483"/>
      <c r="X21" s="480"/>
      <c r="Y21" s="585"/>
      <c r="Z21" s="483" t="s">
        <v>2056</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2057</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2058</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2059</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738</v>
      </c>
      <c r="R25" s="545" t="s">
        <v>311</v>
      </c>
      <c r="S25" s="545"/>
      <c r="T25" s="552" t="s">
        <v>2060</v>
      </c>
      <c r="U25" s="483" t="s">
        <v>2060</v>
      </c>
      <c r="V25" s="483" t="s">
        <v>2060</v>
      </c>
      <c r="W25" s="483" t="s">
        <v>2060</v>
      </c>
      <c r="X25" s="480"/>
      <c r="Y25" s="585"/>
      <c r="Z25" s="483"/>
      <c r="AA25" s="486"/>
      <c r="AB25" s="483"/>
      <c r="AC25" s="483"/>
      <c r="AD25" s="483"/>
    </row>
    <row r="26" spans="1:30" ht="18" customHeight="1">
      <c r="A26" s="482"/>
      <c r="B26" s="521">
        <v>9</v>
      </c>
      <c r="C26" s="480" t="s">
        <v>655</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727</v>
      </c>
      <c r="P26" s="545" t="s">
        <v>721</v>
      </c>
      <c r="Q26" s="545" t="s">
        <v>2061</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2062</v>
      </c>
      <c r="V26" s="552" t="s">
        <v>2062</v>
      </c>
      <c r="W26" s="552" t="s">
        <v>2062</v>
      </c>
      <c r="X26" s="480"/>
      <c r="Y26" s="585"/>
      <c r="Z26" s="483"/>
      <c r="AA26" s="486"/>
      <c r="AB26" s="483"/>
      <c r="AC26" s="483"/>
      <c r="AD26" s="483"/>
    </row>
    <row r="27" spans="1:30" ht="18" customHeight="1">
      <c r="A27" s="482"/>
      <c r="B27" s="521">
        <v>10</v>
      </c>
      <c r="C27" s="480" t="s">
        <v>659</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729</v>
      </c>
      <c r="P27" s="545" t="s">
        <v>723</v>
      </c>
      <c r="Q27" s="545" t="s">
        <v>2063</v>
      </c>
      <c r="R27" s="545" t="s">
        <v>723</v>
      </c>
      <c r="S27" s="545"/>
      <c r="T27" s="552" t="s">
        <v>2064</v>
      </c>
      <c r="U27" s="552" t="s">
        <v>2064</v>
      </c>
      <c r="V27" s="552" t="s">
        <v>2064</v>
      </c>
      <c r="W27" s="552" t="s">
        <v>2064</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731</v>
      </c>
      <c r="P28" s="545"/>
      <c r="Q28" s="545"/>
      <c r="R28" s="545"/>
      <c r="S28" s="545"/>
      <c r="T28" s="552" t="s">
        <v>2065</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738</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2066</v>
      </c>
      <c r="V29" s="483"/>
      <c r="W29" s="483" t="s">
        <v>2066</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740</v>
      </c>
      <c r="P30" s="545" t="s">
        <v>731</v>
      </c>
      <c r="Q30" s="545" t="s">
        <v>740</v>
      </c>
      <c r="R30" s="545" t="s">
        <v>731</v>
      </c>
      <c r="S30" s="545"/>
      <c r="T30" s="552" t="s">
        <v>2067</v>
      </c>
      <c r="U30" s="483" t="s">
        <v>2067</v>
      </c>
      <c r="V30" s="483" t="s">
        <v>2067</v>
      </c>
      <c r="W30" s="483" t="s">
        <v>2067</v>
      </c>
      <c r="X30" s="480"/>
      <c r="Y30" s="585"/>
      <c r="Z30" s="483"/>
      <c r="AA30" s="486" t="s">
        <v>2068</v>
      </c>
      <c r="AB30" s="486" t="s">
        <v>2068</v>
      </c>
      <c r="AC30" s="486" t="s">
        <v>2068</v>
      </c>
      <c r="AD30" s="483"/>
    </row>
    <row r="31" spans="1:30" ht="18" customHeight="1">
      <c r="A31" s="482"/>
      <c r="B31" s="521">
        <v>14</v>
      </c>
      <c r="C31" s="480" t="s">
        <v>2069</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2070</v>
      </c>
      <c r="P31" s="545" t="s">
        <v>734</v>
      </c>
      <c r="Q31" s="545" t="s">
        <v>2070</v>
      </c>
      <c r="R31" s="545" t="s">
        <v>734</v>
      </c>
      <c r="S31" s="545"/>
      <c r="T31" s="553" t="s">
        <v>2071</v>
      </c>
      <c r="U31" s="483" t="s">
        <v>2071</v>
      </c>
      <c r="V31" s="483" t="s">
        <v>2071</v>
      </c>
      <c r="W31" s="483" t="s">
        <v>2071</v>
      </c>
      <c r="X31" s="480"/>
      <c r="Y31" s="585"/>
      <c r="Z31" s="483"/>
      <c r="AA31" s="486"/>
      <c r="AB31" s="486"/>
      <c r="AC31" s="486"/>
      <c r="AD31" s="483"/>
    </row>
    <row r="32" spans="1:30" ht="36" customHeight="1">
      <c r="A32" s="482"/>
      <c r="B32" s="521">
        <v>15</v>
      </c>
      <c r="C32" s="480" t="s">
        <v>2072</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2073</v>
      </c>
      <c r="P32" s="545" t="s">
        <v>736</v>
      </c>
      <c r="Q32" s="545" t="s">
        <v>2073</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2074</v>
      </c>
      <c r="V32" s="483" t="s">
        <v>2074</v>
      </c>
      <c r="W32" s="483" t="s">
        <v>2074</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2075</v>
      </c>
      <c r="V33" s="483" t="s">
        <v>2075</v>
      </c>
      <c r="W33" s="483" t="s">
        <v>2076</v>
      </c>
      <c r="X33" s="480"/>
      <c r="Y33" s="585"/>
      <c r="Z33" s="483"/>
      <c r="AA33" s="486" t="s">
        <v>2077</v>
      </c>
      <c r="AB33" s="486" t="s">
        <v>2077</v>
      </c>
      <c r="AC33" s="486" t="s">
        <v>2077</v>
      </c>
      <c r="AD33" s="483"/>
    </row>
    <row r="34" spans="1:30" ht="27" customHeight="1">
      <c r="A34" s="482"/>
      <c r="B34" s="521">
        <v>17</v>
      </c>
      <c r="C34" s="480" t="s">
        <v>2078</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2079</v>
      </c>
      <c r="P34" s="545" t="s">
        <v>2061</v>
      </c>
      <c r="Q34" s="545" t="s">
        <v>2079</v>
      </c>
      <c r="R34" s="545" t="s">
        <v>2061</v>
      </c>
      <c r="S34" s="545"/>
      <c r="T34" s="554" t="s">
        <v>2080</v>
      </c>
      <c r="U34" s="483" t="s">
        <v>2080</v>
      </c>
      <c r="V34" s="483" t="s">
        <v>2080</v>
      </c>
      <c r="W34" s="483" t="s">
        <v>2081</v>
      </c>
      <c r="X34" s="480"/>
      <c r="Y34" s="585"/>
      <c r="Z34" s="483"/>
      <c r="AA34" s="486"/>
      <c r="AB34" s="483"/>
      <c r="AC34" s="483"/>
      <c r="AD34" s="483"/>
    </row>
    <row r="35" spans="1:30" ht="45" customHeight="1">
      <c r="A35" s="482"/>
      <c r="B35" s="521">
        <v>18</v>
      </c>
      <c r="C35" s="480" t="s">
        <v>2082</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2083</v>
      </c>
      <c r="P35" s="545" t="s">
        <v>2063</v>
      </c>
      <c r="Q35" s="545" t="s">
        <v>2083</v>
      </c>
      <c r="R35" s="545" t="s">
        <v>2063</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2084</v>
      </c>
      <c r="V35" s="483" t="s">
        <v>2084</v>
      </c>
      <c r="W35" s="483" t="s">
        <v>2084</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2085</v>
      </c>
      <c r="U36" s="483" t="s">
        <v>2085</v>
      </c>
      <c r="V36" s="483" t="s">
        <v>2085</v>
      </c>
      <c r="W36" s="483" t="s">
        <v>2085</v>
      </c>
      <c r="X36" s="480"/>
      <c r="Y36" s="585"/>
      <c r="Z36" s="483"/>
      <c r="AA36" s="486"/>
      <c r="AB36" s="483"/>
      <c r="AC36" s="483"/>
      <c r="AD36" s="483"/>
    </row>
    <row r="37" spans="1:30" ht="18" customHeight="1">
      <c r="A37" s="482"/>
      <c r="B37" s="521">
        <v>20</v>
      </c>
      <c r="C37" s="480" t="s">
        <v>2086</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2087</v>
      </c>
      <c r="P37" s="545" t="s">
        <v>2070</v>
      </c>
      <c r="Q37" s="545" t="s">
        <v>2087</v>
      </c>
      <c r="R37" s="545" t="s">
        <v>2070</v>
      </c>
      <c r="S37" s="545"/>
      <c r="T37" s="552" t="s">
        <v>2088</v>
      </c>
      <c r="U37" s="483" t="s">
        <v>2088</v>
      </c>
      <c r="V37" s="483" t="s">
        <v>2088</v>
      </c>
      <c r="W37" s="483" t="s">
        <v>2088</v>
      </c>
      <c r="X37" s="480"/>
      <c r="Y37" s="585"/>
      <c r="Z37" s="483"/>
      <c r="AA37" s="486"/>
      <c r="AB37" s="483"/>
      <c r="AC37" s="483"/>
      <c r="AD37" s="483"/>
    </row>
    <row r="38" spans="1:30" ht="18" customHeight="1">
      <c r="A38" s="482"/>
      <c r="B38" s="521">
        <v>21</v>
      </c>
      <c r="C38" s="480" t="s">
        <v>2089</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2090</v>
      </c>
      <c r="P38" s="545" t="s">
        <v>2073</v>
      </c>
      <c r="Q38" s="545" t="s">
        <v>2090</v>
      </c>
      <c r="R38" s="545" t="s">
        <v>2073</v>
      </c>
      <c r="S38" s="545"/>
      <c r="T38" s="552" t="s">
        <v>2091</v>
      </c>
      <c r="U38" s="483" t="s">
        <v>2091</v>
      </c>
      <c r="V38" s="483" t="s">
        <v>2091</v>
      </c>
      <c r="W38" s="483" t="s">
        <v>2091</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748</v>
      </c>
      <c r="P39" s="545" t="s">
        <v>742</v>
      </c>
      <c r="Q39" s="545" t="s">
        <v>748</v>
      </c>
      <c r="R39" s="545" t="s">
        <v>742</v>
      </c>
      <c r="S39" s="545"/>
      <c r="T39" s="552" t="s">
        <v>2092</v>
      </c>
      <c r="U39" s="483" t="s">
        <v>2093</v>
      </c>
      <c r="V39" s="483" t="s">
        <v>2094</v>
      </c>
      <c r="W39" s="483" t="s">
        <v>2095</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2096</v>
      </c>
      <c r="P40" s="545" t="s">
        <v>744</v>
      </c>
      <c r="Q40" s="545" t="s">
        <v>2096</v>
      </c>
      <c r="R40" s="545" t="s">
        <v>744</v>
      </c>
      <c r="S40" s="545"/>
      <c r="T40" s="480" t="s">
        <v>2097</v>
      </c>
      <c r="U40" s="480" t="s">
        <v>2097</v>
      </c>
      <c r="V40" s="480" t="s">
        <v>2097</v>
      </c>
      <c r="W40" s="480" t="s">
        <v>2097</v>
      </c>
      <c r="X40" s="480"/>
      <c r="Y40" s="585"/>
      <c r="Z40" s="483" t="s">
        <v>2098</v>
      </c>
      <c r="AA40" s="486" t="s">
        <v>2098</v>
      </c>
      <c r="AB40" s="486" t="s">
        <v>2098</v>
      </c>
      <c r="AC40" s="486" t="s">
        <v>2098</v>
      </c>
      <c r="AD40" s="483"/>
    </row>
    <row r="41" spans="1:30" ht="27" customHeight="1">
      <c r="A41" s="482"/>
      <c r="B41" s="521">
        <v>24</v>
      </c>
      <c r="C41" s="480" t="s">
        <v>2099</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2100</v>
      </c>
      <c r="P41" s="545" t="s">
        <v>2087</v>
      </c>
      <c r="Q41" s="545" t="s">
        <v>2100</v>
      </c>
      <c r="R41" s="545" t="s">
        <v>2087</v>
      </c>
      <c r="S41" s="545"/>
      <c r="T41" s="480" t="s">
        <v>2101</v>
      </c>
      <c r="U41" s="480" t="s">
        <v>2101</v>
      </c>
      <c r="V41" s="480" t="s">
        <v>2101</v>
      </c>
      <c r="W41" s="480" t="s">
        <v>2101</v>
      </c>
      <c r="X41" s="480"/>
      <c r="Y41" s="585"/>
      <c r="Z41" s="483" t="s">
        <v>2102</v>
      </c>
      <c r="AA41" s="483" t="s">
        <v>2102</v>
      </c>
      <c r="AB41" s="483" t="s">
        <v>2102</v>
      </c>
      <c r="AC41" s="483" t="s">
        <v>2102</v>
      </c>
      <c r="AD41" s="483"/>
    </row>
    <row r="42" spans="1:30" ht="27" customHeight="1">
      <c r="A42" s="482"/>
      <c r="B42" s="521">
        <v>25</v>
      </c>
      <c r="C42" s="480" t="s">
        <v>2103</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2104</v>
      </c>
      <c r="P42" s="545" t="s">
        <v>2090</v>
      </c>
      <c r="Q42" s="545" t="s">
        <v>2104</v>
      </c>
      <c r="R42" s="545" t="s">
        <v>2090</v>
      </c>
      <c r="S42" s="545"/>
      <c r="T42" s="480" t="s">
        <v>2105</v>
      </c>
      <c r="U42" s="480" t="s">
        <v>2105</v>
      </c>
      <c r="V42" s="480" t="s">
        <v>2105</v>
      </c>
      <c r="W42" s="480" t="s">
        <v>2105</v>
      </c>
      <c r="X42" s="480"/>
      <c r="Y42" s="585"/>
      <c r="Z42" s="483" t="s">
        <v>2106</v>
      </c>
      <c r="AA42" s="483" t="s">
        <v>2106</v>
      </c>
      <c r="AB42" s="483" t="s">
        <v>2106</v>
      </c>
      <c r="AC42" s="483" t="s">
        <v>2106</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2107</v>
      </c>
      <c r="P43" s="545" t="s">
        <v>748</v>
      </c>
      <c r="Q43" s="545" t="s">
        <v>2107</v>
      </c>
      <c r="R43" s="545" t="s">
        <v>748</v>
      </c>
      <c r="S43" s="545"/>
      <c r="T43" s="480" t="s">
        <v>2108</v>
      </c>
      <c r="U43" s="480" t="s">
        <v>2108</v>
      </c>
      <c r="V43" s="480" t="s">
        <v>2108</v>
      </c>
      <c r="W43" s="480" t="s">
        <v>2108</v>
      </c>
      <c r="X43" s="480"/>
      <c r="Y43" s="585"/>
      <c r="Z43" s="483" t="s">
        <v>2109</v>
      </c>
      <c r="AA43" s="483" t="s">
        <v>2109</v>
      </c>
      <c r="AB43" s="483" t="s">
        <v>2109</v>
      </c>
      <c r="AC43" s="483" t="s">
        <v>2109</v>
      </c>
      <c r="AD43" s="483"/>
    </row>
    <row r="44" spans="1:30" ht="27" customHeight="1">
      <c r="A44" s="482"/>
      <c r="B44" s="521">
        <v>27</v>
      </c>
      <c r="C44" s="480" t="s">
        <v>2110</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2111</v>
      </c>
      <c r="P44" s="545" t="s">
        <v>2112</v>
      </c>
      <c r="Q44" s="545" t="s">
        <v>2111</v>
      </c>
      <c r="R44" s="545" t="s">
        <v>2112</v>
      </c>
      <c r="S44" s="545"/>
      <c r="T44" s="480" t="s">
        <v>2101</v>
      </c>
      <c r="U44" s="480" t="s">
        <v>2101</v>
      </c>
      <c r="V44" s="480" t="s">
        <v>2101</v>
      </c>
      <c r="W44" s="480" t="s">
        <v>2101</v>
      </c>
      <c r="X44" s="480"/>
      <c r="Y44" s="585"/>
      <c r="Z44" s="483" t="s">
        <v>2113</v>
      </c>
      <c r="AA44" s="483" t="s">
        <v>2113</v>
      </c>
      <c r="AB44" s="483" t="s">
        <v>2113</v>
      </c>
      <c r="AC44" s="483" t="s">
        <v>2113</v>
      </c>
      <c r="AD44" s="483"/>
    </row>
    <row r="45" spans="1:30" ht="27" customHeight="1">
      <c r="A45" s="482"/>
      <c r="B45" s="521">
        <v>28</v>
      </c>
      <c r="C45" s="480" t="s">
        <v>2114</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2115</v>
      </c>
      <c r="P45" s="545" t="s">
        <v>2116</v>
      </c>
      <c r="Q45" s="545" t="s">
        <v>2115</v>
      </c>
      <c r="R45" s="545" t="s">
        <v>2116</v>
      </c>
      <c r="S45" s="545"/>
      <c r="T45" s="480" t="s">
        <v>2105</v>
      </c>
      <c r="U45" s="480" t="s">
        <v>2105</v>
      </c>
      <c r="V45" s="480" t="s">
        <v>2105</v>
      </c>
      <c r="W45" s="480" t="s">
        <v>2105</v>
      </c>
      <c r="X45" s="480"/>
      <c r="Y45" s="585"/>
      <c r="Z45" s="483" t="s">
        <v>2117</v>
      </c>
      <c r="AA45" s="483" t="s">
        <v>2117</v>
      </c>
      <c r="AB45" s="483" t="s">
        <v>2117</v>
      </c>
      <c r="AC45" s="483" t="s">
        <v>2117</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2118</v>
      </c>
      <c r="P46" s="545" t="s">
        <v>2096</v>
      </c>
      <c r="Q46" s="545" t="s">
        <v>2118</v>
      </c>
      <c r="R46" s="545" t="s">
        <v>2096</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2119</v>
      </c>
      <c r="V46" s="480" t="s">
        <v>2119</v>
      </c>
      <c r="W46" s="480" t="s">
        <v>2119</v>
      </c>
      <c r="X46" s="480"/>
      <c r="Y46" s="585"/>
      <c r="Z46" s="483" t="s">
        <v>2120</v>
      </c>
      <c r="AA46" s="483" t="s">
        <v>2121</v>
      </c>
      <c r="AB46" s="483" t="s">
        <v>2121</v>
      </c>
      <c r="AC46" s="483" t="s">
        <v>2121</v>
      </c>
      <c r="AD46" s="483"/>
    </row>
    <row r="47" spans="1:30" ht="54" customHeight="1">
      <c r="A47" s="482"/>
      <c r="B47" s="521">
        <v>30</v>
      </c>
      <c r="C47" s="480" t="s">
        <v>2122</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2123</v>
      </c>
      <c r="P47" s="545" t="s">
        <v>2100</v>
      </c>
      <c r="Q47" s="545" t="s">
        <v>2123</v>
      </c>
      <c r="R47" s="545" t="s">
        <v>2100</v>
      </c>
      <c r="S47" s="545"/>
      <c r="T47" s="480" t="s">
        <v>2124</v>
      </c>
      <c r="U47" s="480" t="s">
        <v>2124</v>
      </c>
      <c r="V47" s="480" t="s">
        <v>2124</v>
      </c>
      <c r="W47" s="480" t="s">
        <v>2124</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2107</v>
      </c>
      <c r="Q48" s="545" t="s">
        <v>2125</v>
      </c>
      <c r="R48" s="545" t="s">
        <v>2107</v>
      </c>
      <c r="S48" s="545"/>
      <c r="T48" s="480"/>
      <c r="U48" s="480" t="s">
        <v>2126</v>
      </c>
      <c r="V48" s="480" t="s">
        <v>2127</v>
      </c>
      <c r="W48" s="480" t="s">
        <v>2127</v>
      </c>
      <c r="X48" s="480"/>
      <c r="Y48" s="585"/>
      <c r="Z48" s="483"/>
      <c r="AA48" s="486" t="s">
        <v>2121</v>
      </c>
      <c r="AB48" s="486" t="s">
        <v>2121</v>
      </c>
      <c r="AC48" s="486" t="s">
        <v>2121</v>
      </c>
      <c r="AD48" s="483"/>
    </row>
    <row r="49" spans="1:30" ht="54" customHeight="1">
      <c r="A49" s="482"/>
      <c r="B49" s="521">
        <v>32</v>
      </c>
      <c r="C49" s="480" t="s">
        <v>2128</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2111</v>
      </c>
      <c r="Q49" s="545" t="s">
        <v>2129</v>
      </c>
      <c r="R49" s="545" t="s">
        <v>2111</v>
      </c>
      <c r="S49" s="545"/>
      <c r="T49" s="480"/>
      <c r="U49" s="480" t="s">
        <v>2124</v>
      </c>
      <c r="V49" s="480" t="s">
        <v>2124</v>
      </c>
      <c r="W49" s="480" t="s">
        <v>2124</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2125</v>
      </c>
      <c r="P50" s="545" t="s">
        <v>2118</v>
      </c>
      <c r="Q50" s="545" t="s">
        <v>2130</v>
      </c>
      <c r="R50" s="545" t="s">
        <v>2118</v>
      </c>
      <c r="S50" s="545"/>
      <c r="T50" s="480" t="s">
        <v>2131</v>
      </c>
      <c r="U50" s="480" t="s">
        <v>2132</v>
      </c>
      <c r="V50" s="480" t="s">
        <v>2133</v>
      </c>
      <c r="W50" s="480" t="s">
        <v>2134</v>
      </c>
      <c r="X50" s="480"/>
      <c r="Y50" s="585"/>
      <c r="Z50" s="483" t="s">
        <v>2135</v>
      </c>
      <c r="AA50" s="486" t="s">
        <v>2136</v>
      </c>
      <c r="AB50" s="486" t="s">
        <v>2136</v>
      </c>
      <c r="AC50" s="486" t="s">
        <v>2136</v>
      </c>
      <c r="AD50" s="483"/>
    </row>
    <row r="51" spans="1:30" ht="27" customHeight="1">
      <c r="A51" s="482"/>
      <c r="B51" s="521">
        <v>34</v>
      </c>
      <c r="C51" s="480" t="s">
        <v>2137</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2138</v>
      </c>
      <c r="U51" s="480"/>
      <c r="V51" s="480"/>
      <c r="W51" s="480"/>
      <c r="X51" s="480"/>
      <c r="Y51" s="585"/>
      <c r="Z51" s="483"/>
      <c r="AA51" s="486"/>
      <c r="AB51" s="486"/>
      <c r="AC51" s="486"/>
      <c r="AD51" s="483"/>
    </row>
    <row r="52" spans="1:30" ht="36" customHeight="1">
      <c r="A52" s="482"/>
      <c r="B52" s="521">
        <v>35</v>
      </c>
      <c r="C52" s="480" t="s">
        <v>2031</v>
      </c>
      <c r="D52" s="555" t="s">
        <v>2031</v>
      </c>
      <c r="E52" s="480" t="s">
        <v>2031</v>
      </c>
      <c r="F52" s="480" t="s">
        <v>2031</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2139</v>
      </c>
      <c r="U52" s="480" t="s">
        <v>2140</v>
      </c>
      <c r="V52" s="480" t="s">
        <v>2141</v>
      </c>
      <c r="W52" s="480" t="s">
        <v>2142</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328</v>
      </c>
      <c r="Q53" s="545" t="s">
        <v>328</v>
      </c>
      <c r="R53" s="545" t="s">
        <v>328</v>
      </c>
      <c r="S53" s="545"/>
      <c r="T53" s="480" t="s">
        <v>2143</v>
      </c>
      <c r="U53" s="480" t="s">
        <v>2143</v>
      </c>
      <c r="V53" s="480" t="s">
        <v>2143</v>
      </c>
      <c r="W53" s="480" t="s">
        <v>2143</v>
      </c>
      <c r="X53" s="480"/>
      <c r="Y53" s="585"/>
      <c r="Z53" s="483"/>
      <c r="AA53" s="486"/>
      <c r="AB53" s="483"/>
      <c r="AC53" s="483"/>
      <c r="AD53" s="483"/>
    </row>
    <row r="54" spans="1:30" ht="18" customHeight="1">
      <c r="A54" s="482"/>
      <c r="B54" s="521">
        <v>37</v>
      </c>
      <c r="C54" s="480" t="s">
        <v>2037</v>
      </c>
      <c r="D54" s="555" t="s">
        <v>2037</v>
      </c>
      <c r="E54" s="480" t="s">
        <v>2037</v>
      </c>
      <c r="F54" s="480" t="s">
        <v>2037</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2144</v>
      </c>
      <c r="V55" s="480" t="s">
        <v>2144</v>
      </c>
      <c r="W55" s="480" t="s">
        <v>2144</v>
      </c>
      <c r="X55" s="480"/>
      <c r="Y55" s="585"/>
      <c r="Z55" s="483" t="s">
        <v>2145</v>
      </c>
      <c r="AA55" s="483" t="s">
        <v>2145</v>
      </c>
      <c r="AB55" s="483" t="s">
        <v>2145</v>
      </c>
      <c r="AC55" s="483" t="s">
        <v>2145</v>
      </c>
      <c r="AD55" s="483"/>
    </row>
    <row r="56" spans="1:30" ht="27" customHeight="1">
      <c r="A56" s="482"/>
      <c r="B56" s="521">
        <v>39</v>
      </c>
      <c r="C56" s="480" t="s">
        <v>1024</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2146</v>
      </c>
      <c r="V56" s="480" t="s">
        <v>2146</v>
      </c>
      <c r="W56" s="480" t="s">
        <v>2146</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2147</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2148</v>
      </c>
      <c r="V57" s="480" t="s">
        <v>2148</v>
      </c>
      <c r="W57" s="480" t="s">
        <v>2148</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2149</v>
      </c>
      <c r="V58" s="480" t="s">
        <v>2149</v>
      </c>
      <c r="W58" s="480" t="s">
        <v>2149</v>
      </c>
      <c r="X58" s="480"/>
      <c r="Y58" s="585"/>
      <c r="Z58" s="483"/>
      <c r="AA58" s="486"/>
      <c r="AB58" s="483"/>
      <c r="AC58" s="483"/>
      <c r="AD58" s="483"/>
    </row>
    <row r="59" spans="1:30" ht="36" customHeight="1">
      <c r="A59" s="482"/>
      <c r="B59" s="521">
        <v>42</v>
      </c>
      <c r="C59" s="480">
        <v>3</v>
      </c>
      <c r="D59" s="555" t="s">
        <v>2137</v>
      </c>
      <c r="E59" s="480" t="s">
        <v>2137</v>
      </c>
      <c r="F59" s="480" t="s">
        <v>2137</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112</v>
      </c>
      <c r="Q59" s="545" t="s">
        <v>112</v>
      </c>
      <c r="R59" s="545" t="s">
        <v>112</v>
      </c>
      <c r="S59" s="545"/>
      <c r="T59" s="480"/>
      <c r="U59" s="480" t="s">
        <v>2150</v>
      </c>
      <c r="V59" s="480" t="s">
        <v>2151</v>
      </c>
      <c r="W59" s="480" t="s">
        <v>2152</v>
      </c>
      <c r="X59" s="480"/>
      <c r="Y59" s="585"/>
      <c r="Z59" s="483"/>
      <c r="AA59" s="486"/>
      <c r="AB59" s="483"/>
      <c r="AC59" s="483"/>
      <c r="AD59" s="483"/>
    </row>
    <row r="60" spans="1:30" ht="81" customHeight="1">
      <c r="A60" s="482"/>
      <c r="B60" s="521">
        <v>43</v>
      </c>
      <c r="C60" s="480" t="s">
        <v>2153</v>
      </c>
      <c r="D60" s="555" t="s">
        <v>2153</v>
      </c>
      <c r="E60" s="480" t="s">
        <v>2153</v>
      </c>
      <c r="F60" s="480" t="s">
        <v>2153</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632</v>
      </c>
      <c r="U60" s="480" t="s">
        <v>632</v>
      </c>
      <c r="V60" s="480" t="s">
        <v>632</v>
      </c>
      <c r="W60" s="480" t="s">
        <v>632</v>
      </c>
      <c r="X60" s="480"/>
      <c r="Y60" s="585"/>
      <c r="Z60" s="483" t="s">
        <v>2154</v>
      </c>
      <c r="AA60" s="486" t="s">
        <v>2155</v>
      </c>
      <c r="AB60" s="483" t="s">
        <v>2156</v>
      </c>
      <c r="AC60" s="483" t="s">
        <v>2155</v>
      </c>
      <c r="AD60" s="483"/>
    </row>
    <row r="61" spans="1:30" ht="9" customHeight="1">
      <c r="A61" s="482"/>
      <c r="B61" s="521">
        <v>44</v>
      </c>
      <c r="C61" s="480"/>
      <c r="D61" s="555" t="s">
        <v>2157</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94</v>
      </c>
      <c r="Q61" s="545"/>
      <c r="R61" s="545"/>
      <c r="S61" s="545"/>
      <c r="T61" s="480"/>
      <c r="U61" s="480" t="s">
        <v>2158</v>
      </c>
      <c r="V61" s="480"/>
      <c r="W61" s="480"/>
      <c r="X61" s="480"/>
      <c r="Y61" s="585"/>
      <c r="Z61" s="483"/>
      <c r="AA61" s="486"/>
      <c r="AB61" s="483"/>
      <c r="AC61" s="483"/>
      <c r="AD61" s="483"/>
    </row>
    <row r="62" spans="1:30" ht="9" customHeight="1">
      <c r="A62" s="482"/>
      <c r="B62" s="521">
        <v>45</v>
      </c>
      <c r="C62" s="480"/>
      <c r="D62" s="555" t="s">
        <v>2159</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2160</v>
      </c>
      <c r="V62" s="480"/>
      <c r="W62" s="480"/>
      <c r="X62" s="480"/>
      <c r="Y62" s="585"/>
      <c r="Z62" s="483"/>
      <c r="AA62" s="486"/>
      <c r="AB62" s="483"/>
      <c r="AC62" s="483"/>
      <c r="AD62" s="483"/>
    </row>
    <row r="63" spans="1:30" ht="18" customHeight="1">
      <c r="A63" s="482"/>
      <c r="B63" s="521">
        <v>46</v>
      </c>
      <c r="C63" s="480"/>
      <c r="D63" s="555" t="s">
        <v>2161</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2162</v>
      </c>
      <c r="V63" s="480"/>
      <c r="W63" s="480"/>
      <c r="X63" s="480"/>
      <c r="Y63" s="585"/>
      <c r="Z63" s="483"/>
      <c r="AA63" s="486"/>
      <c r="AB63" s="483"/>
      <c r="AC63" s="483"/>
      <c r="AD63" s="483"/>
    </row>
    <row r="64" spans="1:30" ht="18" customHeight="1">
      <c r="A64" s="482"/>
      <c r="B64" s="521">
        <v>47</v>
      </c>
      <c r="C64" s="480"/>
      <c r="D64" s="555" t="s">
        <v>2163</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2164</v>
      </c>
      <c r="V64" s="480"/>
      <c r="W64" s="480"/>
      <c r="X64" s="480"/>
      <c r="Y64" s="585"/>
      <c r="Z64" s="483"/>
      <c r="AA64" s="486" t="s">
        <v>2165</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2078</v>
      </c>
      <c r="Q65" s="545"/>
      <c r="R65" s="545"/>
      <c r="S65" s="545"/>
      <c r="T65" s="480"/>
      <c r="U65" s="480" t="s">
        <v>2166</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2082</v>
      </c>
      <c r="Q66" s="545"/>
      <c r="R66" s="545"/>
      <c r="S66" s="545"/>
      <c r="T66" s="480"/>
      <c r="U66" s="480" t="s">
        <v>2167</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2168</v>
      </c>
      <c r="Q67" s="545"/>
      <c r="R67" s="545"/>
      <c r="S67" s="545"/>
      <c r="T67" s="480"/>
      <c r="U67" s="480" t="s">
        <v>2169</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2170</v>
      </c>
      <c r="Q68" s="545"/>
      <c r="R68" s="545"/>
      <c r="S68" s="545"/>
      <c r="T68" s="480"/>
      <c r="U68" s="480" t="s">
        <v>2171</v>
      </c>
      <c r="V68" s="480"/>
      <c r="W68" s="480"/>
      <c r="X68" s="480"/>
      <c r="Y68" s="585"/>
      <c r="Z68" s="483"/>
      <c r="AA68" s="486"/>
      <c r="AB68" s="483"/>
      <c r="AC68" s="483"/>
      <c r="AD68" s="483"/>
    </row>
    <row r="69" spans="1:30" ht="9" customHeight="1">
      <c r="A69" s="482"/>
      <c r="B69" s="521">
        <v>52</v>
      </c>
      <c r="C69" s="480"/>
      <c r="D69" s="555" t="s">
        <v>2172</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2173</v>
      </c>
      <c r="V69" s="480"/>
      <c r="W69" s="480"/>
      <c r="X69" s="480"/>
      <c r="Y69" s="585"/>
      <c r="Z69" s="483"/>
      <c r="AA69" s="486"/>
      <c r="AB69" s="483"/>
      <c r="AC69" s="483"/>
      <c r="AD69" s="483"/>
    </row>
    <row r="70" spans="1:30" ht="27" customHeight="1">
      <c r="A70" s="482"/>
      <c r="B70" s="521">
        <v>53</v>
      </c>
      <c r="C70" s="480"/>
      <c r="D70" s="555"/>
      <c r="E70" s="480" t="s">
        <v>2157</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2174</v>
      </c>
      <c r="W70" s="480"/>
      <c r="X70" s="480"/>
      <c r="Y70" s="585"/>
      <c r="Z70" s="483"/>
      <c r="AA70" s="486"/>
      <c r="AB70" s="483"/>
      <c r="AC70" s="483"/>
      <c r="AD70" s="483"/>
    </row>
    <row r="71" spans="1:30" ht="36" customHeight="1">
      <c r="A71" s="482"/>
      <c r="B71" s="521">
        <v>54</v>
      </c>
      <c r="C71" s="480"/>
      <c r="D71" s="555"/>
      <c r="E71" s="480" t="s">
        <v>2159</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2175</v>
      </c>
      <c r="W71" s="480"/>
      <c r="X71" s="480"/>
      <c r="Y71" s="585"/>
      <c r="Z71" s="483"/>
      <c r="AA71" s="486"/>
      <c r="AB71" s="483"/>
      <c r="AC71" s="483"/>
      <c r="AD71" s="483"/>
    </row>
    <row r="72" spans="1:30" ht="27" customHeight="1">
      <c r="A72" s="482"/>
      <c r="B72" s="521">
        <v>55</v>
      </c>
      <c r="C72" s="480"/>
      <c r="D72" s="555"/>
      <c r="E72" s="480" t="s">
        <v>2161</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2176</v>
      </c>
      <c r="W72" s="480"/>
      <c r="X72" s="480"/>
      <c r="Y72" s="585"/>
      <c r="Z72" s="483"/>
      <c r="AA72" s="486"/>
      <c r="AB72" s="483"/>
      <c r="AC72" s="483"/>
      <c r="AD72" s="483"/>
    </row>
    <row r="73" spans="1:30" ht="36" customHeight="1">
      <c r="A73" s="482"/>
      <c r="B73" s="521">
        <v>56</v>
      </c>
      <c r="C73" s="480"/>
      <c r="D73" s="555"/>
      <c r="E73" s="480" t="s">
        <v>2163</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2177</v>
      </c>
      <c r="W73" s="480"/>
      <c r="X73" s="480"/>
      <c r="Y73" s="585"/>
      <c r="Z73" s="483"/>
      <c r="AA73" s="486"/>
      <c r="AB73" s="483"/>
      <c r="AC73" s="483"/>
      <c r="AD73" s="483"/>
    </row>
    <row r="74" spans="1:30" ht="18" customHeight="1">
      <c r="A74" s="482"/>
      <c r="B74" s="521">
        <v>57</v>
      </c>
      <c r="C74" s="480"/>
      <c r="D74" s="555"/>
      <c r="E74" s="480" t="s">
        <v>2172</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2178</v>
      </c>
      <c r="W74" s="480"/>
      <c r="X74" s="480"/>
      <c r="Y74" s="585"/>
      <c r="Z74" s="483"/>
      <c r="AA74" s="486"/>
      <c r="AB74" s="483"/>
      <c r="AC74" s="483"/>
      <c r="AD74" s="483"/>
    </row>
    <row r="75" spans="1:30" ht="18" customHeight="1">
      <c r="A75" s="482"/>
      <c r="B75" s="521">
        <v>58</v>
      </c>
      <c r="C75" s="480"/>
      <c r="D75" s="555"/>
      <c r="E75" s="480"/>
      <c r="F75" s="480" t="s">
        <v>2157</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94</v>
      </c>
      <c r="S75" s="545"/>
      <c r="T75" s="480"/>
      <c r="U75" s="480"/>
      <c r="V75" s="480"/>
      <c r="W75" s="480" t="s">
        <v>2179</v>
      </c>
      <c r="X75" s="480"/>
      <c r="Y75" s="585"/>
      <c r="Z75" s="483"/>
      <c r="AA75" s="486"/>
      <c r="AB75" s="483"/>
      <c r="AC75" s="483"/>
      <c r="AD75" s="483"/>
    </row>
    <row r="76" spans="1:30" ht="36" customHeight="1">
      <c r="A76" s="482"/>
      <c r="B76" s="521">
        <v>59</v>
      </c>
      <c r="C76" s="480"/>
      <c r="D76" s="555"/>
      <c r="E76" s="480"/>
      <c r="F76" s="480" t="s">
        <v>2159</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113</v>
      </c>
      <c r="S76" s="545"/>
      <c r="T76" s="480"/>
      <c r="U76" s="480"/>
      <c r="V76" s="480"/>
      <c r="W76" s="480" t="s">
        <v>2180</v>
      </c>
      <c r="X76" s="480"/>
      <c r="Y76" s="585"/>
      <c r="Z76" s="483"/>
      <c r="AA76" s="486"/>
      <c r="AB76" s="483"/>
      <c r="AC76" s="483"/>
      <c r="AD76" s="483"/>
    </row>
    <row r="77" spans="1:30" ht="18" customHeight="1">
      <c r="A77" s="482"/>
      <c r="B77" s="521">
        <v>60</v>
      </c>
      <c r="C77" s="480"/>
      <c r="D77" s="555"/>
      <c r="E77" s="480"/>
      <c r="F77" s="480" t="s">
        <v>2161</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149</v>
      </c>
      <c r="S77" s="545"/>
      <c r="T77" s="480"/>
      <c r="U77" s="480"/>
      <c r="V77" s="480"/>
      <c r="W77" s="480" t="s">
        <v>2181</v>
      </c>
      <c r="X77" s="480"/>
      <c r="Y77" s="585"/>
      <c r="Z77" s="483"/>
      <c r="AA77" s="486"/>
      <c r="AB77" s="483"/>
      <c r="AC77" s="483"/>
      <c r="AD77" s="483"/>
    </row>
    <row r="78" spans="1:30" ht="72" customHeight="1">
      <c r="A78" s="482"/>
      <c r="B78" s="521">
        <v>61</v>
      </c>
      <c r="C78" s="480" t="s">
        <v>2157</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637</v>
      </c>
      <c r="U78" s="480"/>
      <c r="V78" s="480"/>
      <c r="W78" s="480"/>
      <c r="X78" s="480"/>
      <c r="Y78" s="585"/>
      <c r="Z78" s="483" t="s">
        <v>2182</v>
      </c>
      <c r="AA78" s="486"/>
      <c r="AB78" s="483"/>
      <c r="AC78" s="483"/>
      <c r="AD78" s="483"/>
    </row>
    <row r="79" spans="1:30" ht="36" customHeight="1">
      <c r="A79" s="482"/>
      <c r="B79" s="521">
        <v>62</v>
      </c>
      <c r="C79" s="480" t="s">
        <v>2159</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2183</v>
      </c>
      <c r="U79" s="480"/>
      <c r="V79" s="480"/>
      <c r="W79" s="480"/>
      <c r="X79" s="480"/>
      <c r="Y79" s="585"/>
      <c r="Z79" s="483" t="s">
        <v>2184</v>
      </c>
      <c r="AA79" s="486"/>
      <c r="AB79" s="483"/>
      <c r="AC79" s="483"/>
      <c r="AD79" s="483"/>
    </row>
    <row r="80" spans="1:30" ht="45" customHeight="1">
      <c r="A80" s="482"/>
      <c r="B80" s="521">
        <v>63</v>
      </c>
      <c r="C80" s="480" t="s">
        <v>2161</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2185</v>
      </c>
      <c r="U80" s="480"/>
      <c r="V80" s="480"/>
      <c r="W80" s="480"/>
      <c r="X80" s="480"/>
      <c r="Y80" s="585"/>
      <c r="Z80" s="483" t="s">
        <v>2186</v>
      </c>
      <c r="AA80" s="486"/>
      <c r="AB80" s="483"/>
      <c r="AC80" s="483"/>
      <c r="AD80" s="483"/>
    </row>
    <row r="81" spans="1:30" ht="36" customHeight="1">
      <c r="A81" s="482"/>
      <c r="B81" s="521">
        <v>64</v>
      </c>
      <c r="C81" s="480" t="s">
        <v>2163</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2069</v>
      </c>
      <c r="P81" s="545"/>
      <c r="Q81" s="545"/>
      <c r="R81" s="545"/>
      <c r="S81" s="545"/>
      <c r="T81" s="480" t="s">
        <v>2187</v>
      </c>
      <c r="U81" s="480"/>
      <c r="V81" s="480"/>
      <c r="W81" s="480"/>
      <c r="X81" s="480"/>
      <c r="Y81" s="585"/>
      <c r="Z81" s="483" t="s">
        <v>2188</v>
      </c>
      <c r="AA81" s="486"/>
      <c r="AB81" s="483"/>
      <c r="AC81" s="483"/>
      <c r="AD81" s="483"/>
    </row>
    <row r="82" spans="1:30" ht="90" customHeight="1">
      <c r="A82" s="482"/>
      <c r="B82" s="521">
        <v>65</v>
      </c>
      <c r="C82" s="480" t="s">
        <v>2172</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2189</v>
      </c>
      <c r="U82" s="480"/>
      <c r="V82" s="480"/>
      <c r="W82" s="480"/>
      <c r="X82" s="480"/>
      <c r="Y82" s="585"/>
      <c r="Z82" s="483" t="s">
        <v>2190</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2078</v>
      </c>
      <c r="P83" s="545"/>
      <c r="Q83" s="545"/>
      <c r="R83" s="545"/>
      <c r="S83" s="545"/>
      <c r="T83" s="480" t="s">
        <v>2191</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2192</v>
      </c>
      <c r="P84" s="545"/>
      <c r="Q84" s="545"/>
      <c r="R84" s="545"/>
      <c r="S84" s="545"/>
      <c r="T84" s="480" t="s">
        <v>2193</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2082</v>
      </c>
      <c r="P85" s="545"/>
      <c r="Q85" s="545"/>
      <c r="R85" s="545"/>
      <c r="S85" s="545"/>
      <c r="T85" s="480" t="s">
        <v>2194</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2195</v>
      </c>
      <c r="P86" s="545"/>
      <c r="Q86" s="545"/>
      <c r="R86" s="545"/>
      <c r="S86" s="545"/>
      <c r="T86" s="480" t="s">
        <v>2196</v>
      </c>
      <c r="U86" s="480"/>
      <c r="V86" s="480"/>
      <c r="W86" s="480"/>
      <c r="X86" s="480"/>
      <c r="Y86" s="585"/>
      <c r="Z86" s="483"/>
      <c r="AA86" s="486"/>
      <c r="AB86" s="483"/>
      <c r="AC86" s="483"/>
      <c r="AD86" s="483"/>
    </row>
    <row r="87" spans="1:30" ht="36" customHeight="1">
      <c r="A87" s="482"/>
      <c r="B87" s="521">
        <v>70</v>
      </c>
      <c r="C87" s="480" t="s">
        <v>2197</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2198</v>
      </c>
      <c r="U87" s="480"/>
      <c r="V87" s="480"/>
      <c r="W87" s="480"/>
      <c r="X87" s="480"/>
      <c r="Y87" s="585"/>
      <c r="Z87" s="483"/>
      <c r="AA87" s="486"/>
      <c r="AB87" s="483"/>
      <c r="AC87" s="483"/>
      <c r="AD87" s="483"/>
    </row>
    <row r="88" spans="1:30" ht="18" customHeight="1">
      <c r="A88" s="482"/>
      <c r="B88" s="521">
        <v>71</v>
      </c>
      <c r="C88" s="480" t="s">
        <v>2199</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2200</v>
      </c>
      <c r="D89" s="555" t="s">
        <v>2197</v>
      </c>
      <c r="E89" s="480" t="s">
        <v>2197</v>
      </c>
      <c r="F89" s="480" t="s">
        <v>2163</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2201</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2199</v>
      </c>
      <c r="E91" s="480" t="s">
        <v>2199</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2202</v>
      </c>
      <c r="V91" s="480" t="s">
        <v>2202</v>
      </c>
      <c r="W91" s="480"/>
      <c r="X91" s="480"/>
      <c r="Y91" s="585"/>
      <c r="Z91" s="483"/>
      <c r="AA91" s="486"/>
      <c r="AB91" s="483"/>
      <c r="AC91" s="483"/>
      <c r="AD91" s="483"/>
    </row>
    <row r="92" spans="1:30" ht="27" customHeight="1">
      <c r="A92" s="482"/>
      <c r="B92" s="521">
        <v>75</v>
      </c>
      <c r="C92" s="480"/>
      <c r="D92" s="555" t="s">
        <v>2200</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2203</v>
      </c>
      <c r="V92" s="480"/>
      <c r="W92" s="480"/>
      <c r="X92" s="480"/>
      <c r="Y92" s="585"/>
      <c r="Z92" s="483"/>
      <c r="AA92" s="486" t="s">
        <v>2204</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2110</v>
      </c>
      <c r="Q93" s="545"/>
      <c r="R93" s="545"/>
      <c r="S93" s="545"/>
      <c r="T93" s="480"/>
      <c r="U93" s="480" t="s">
        <v>2205</v>
      </c>
      <c r="V93" s="480"/>
      <c r="W93" s="480"/>
      <c r="X93" s="480"/>
      <c r="Y93" s="585"/>
      <c r="Z93" s="483"/>
      <c r="AA93" s="486" t="s">
        <v>2206</v>
      </c>
      <c r="AB93" s="483"/>
      <c r="AC93" s="483"/>
      <c r="AD93" s="483"/>
    </row>
    <row r="94" spans="1:30" ht="45" customHeight="1">
      <c r="A94" s="482"/>
      <c r="B94" s="521">
        <v>77</v>
      </c>
      <c r="C94" s="480"/>
      <c r="D94" s="555" t="s">
        <v>2201</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2207</v>
      </c>
      <c r="V94" s="480"/>
      <c r="W94" s="480"/>
      <c r="X94" s="480"/>
      <c r="Y94" s="585"/>
      <c r="Z94" s="483"/>
      <c r="AA94" s="486" t="s">
        <v>2208</v>
      </c>
      <c r="AB94" s="483"/>
      <c r="AC94" s="483"/>
      <c r="AD94" s="483"/>
    </row>
    <row r="95" spans="1:30" ht="99" customHeight="1">
      <c r="A95" s="482"/>
      <c r="B95" s="521">
        <v>78</v>
      </c>
      <c r="C95" s="480" t="s">
        <v>2209</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2210</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2211</v>
      </c>
      <c r="U96" s="480"/>
      <c r="V96" s="480"/>
      <c r="W96" s="480"/>
      <c r="X96" s="480"/>
      <c r="Y96" s="585"/>
      <c r="Z96" s="483" t="s">
        <v>2212</v>
      </c>
      <c r="AA96" s="486"/>
      <c r="AB96" s="483"/>
      <c r="AC96" s="483"/>
      <c r="AD96" s="483"/>
    </row>
    <row r="97" spans="1:30" ht="63" customHeight="1">
      <c r="A97" s="482"/>
      <c r="B97" s="521">
        <v>80</v>
      </c>
      <c r="C97" s="480" t="s">
        <v>2213</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2214</v>
      </c>
      <c r="U97" s="480"/>
      <c r="V97" s="480"/>
      <c r="W97" s="480"/>
      <c r="X97" s="480"/>
      <c r="Y97" s="585"/>
      <c r="Z97" s="483" t="s">
        <v>2215</v>
      </c>
      <c r="AA97" s="486"/>
      <c r="AB97" s="483"/>
      <c r="AC97" s="483"/>
      <c r="AD97" s="483"/>
    </row>
    <row r="98" spans="1:30" ht="63" customHeight="1">
      <c r="A98" s="482"/>
      <c r="B98" s="521">
        <v>81</v>
      </c>
      <c r="C98" s="480" t="s">
        <v>2216</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2217</v>
      </c>
      <c r="U98" s="480"/>
      <c r="V98" s="480"/>
      <c r="W98" s="480"/>
      <c r="X98" s="480"/>
      <c r="Y98" s="585"/>
      <c r="Z98" s="483" t="s">
        <v>2215</v>
      </c>
      <c r="AA98" s="486"/>
      <c r="AB98" s="483"/>
      <c r="AC98" s="483"/>
      <c r="AD98" s="483"/>
    </row>
    <row r="99" spans="1:30" ht="90" customHeight="1">
      <c r="A99" s="482"/>
      <c r="B99" s="521">
        <v>82</v>
      </c>
      <c r="C99" s="480" t="s">
        <v>2218</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2219</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2220</v>
      </c>
      <c r="P100" s="545"/>
      <c r="Q100" s="545"/>
      <c r="R100" s="545"/>
      <c r="S100" s="545"/>
      <c r="T100" s="480" t="s">
        <v>2221</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2222</v>
      </c>
      <c r="P101" s="545"/>
      <c r="Q101" s="545"/>
      <c r="R101" s="545"/>
      <c r="S101" s="545"/>
      <c r="T101" s="480" t="s">
        <v>2223</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1663</v>
      </c>
      <c r="B148" s="482"/>
      <c r="C148" s="480" t="s">
        <v>2224</v>
      </c>
      <c r="D148" s="480" t="s">
        <v>1564</v>
      </c>
      <c r="E148" s="480" t="s">
        <v>1665</v>
      </c>
      <c r="F148" s="480" t="s">
        <v>2225</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2226</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2227</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1667</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1670</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1675</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63" hidden="1"/>
    <col min="2" max="2" width="11" style="63" hidden="1" customWidth="1"/>
    <col min="3" max="3" width="10.625" style="63" hidden="1"/>
    <col min="4" max="4" width="11.875" style="63" hidden="1" customWidth="1"/>
    <col min="5" max="5" width="12.25" style="63" hidden="1" customWidth="1"/>
    <col min="6" max="8" width="12.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5" style="11" customWidth="1"/>
    <col min="21" max="21" width="11" style="11" customWidth="1"/>
    <col min="22" max="22" width="8.625" style="11" customWidth="1"/>
    <col min="23" max="23" width="4" style="11" customWidth="1"/>
    <col min="24" max="24" width="115" style="11" customWidth="1"/>
    <col min="25" max="29" width="10" style="68" customWidth="1"/>
    <col min="30" max="30" width="10.625" style="11" hidden="1"/>
  </cols>
  <sheetData>
    <row r="1" spans="1:30" ht="22.5" hidden="1" customHeight="1">
      <c r="AD1" s="11" t="s">
        <v>14</v>
      </c>
    </row>
    <row r="2" spans="1:30" ht="14.25" hidden="1" customHeight="1">
      <c r="AD2" s="11">
        <v>0</v>
      </c>
    </row>
    <row r="3" spans="1:30" ht="14.25" hidden="1" customHeight="1">
      <c r="AD3" s="11">
        <v>0</v>
      </c>
    </row>
    <row r="4" spans="1:30" ht="14.7" customHeight="1">
      <c r="J4" s="28"/>
      <c r="K4" s="28"/>
      <c r="L4" s="739"/>
      <c r="M4" s="10"/>
      <c r="N4" s="10"/>
      <c r="AD4" s="11">
        <v>14</v>
      </c>
    </row>
    <row r="5" spans="1:30" ht="67.2" customHeight="1">
      <c r="J5" s="28"/>
      <c r="K5" s="28"/>
      <c r="L5" s="1590" t="s">
        <v>2228</v>
      </c>
      <c r="M5" s="1590"/>
      <c r="N5" s="1590"/>
      <c r="O5" s="1590"/>
      <c r="P5" s="1590"/>
      <c r="Q5" s="1590"/>
      <c r="R5" s="1590"/>
      <c r="S5" s="1590"/>
      <c r="T5" s="1590"/>
      <c r="U5" s="1590"/>
      <c r="V5" s="59"/>
      <c r="AD5" s="11">
        <v>64</v>
      </c>
    </row>
    <row r="6" spans="1:30" ht="14.7" customHeight="1">
      <c r="J6" s="28"/>
      <c r="K6" s="28"/>
      <c r="L6" s="1591" t="str">
        <f>IF(org=0,"Не определено",org)</f>
        <v>АО "Юграавиа"</v>
      </c>
      <c r="M6" s="1591"/>
      <c r="N6" s="1591"/>
      <c r="O6" s="1591"/>
      <c r="P6" s="1591"/>
      <c r="Q6" s="1591"/>
      <c r="R6" s="1591"/>
      <c r="S6" s="1591"/>
      <c r="T6" s="1591"/>
      <c r="U6" s="1591"/>
      <c r="V6" s="59"/>
      <c r="AD6" s="11">
        <v>14</v>
      </c>
    </row>
    <row r="7" spans="1:30" ht="14.7" customHeight="1">
      <c r="J7" s="28"/>
      <c r="K7" s="28"/>
      <c r="L7" s="739"/>
      <c r="M7" s="10"/>
      <c r="N7" s="10"/>
      <c r="O7" s="189"/>
      <c r="P7" s="189"/>
      <c r="Q7" s="189"/>
      <c r="R7" s="189"/>
      <c r="S7" s="189"/>
      <c r="T7" s="189"/>
      <c r="U7" s="189"/>
      <c r="V7" s="189"/>
      <c r="AD7" s="11">
        <v>14</v>
      </c>
    </row>
    <row r="8" spans="1:30" s="35" customFormat="1" ht="48.3" customHeight="1">
      <c r="A8" s="82"/>
      <c r="B8" s="82"/>
      <c r="C8" s="82"/>
      <c r="D8" s="82"/>
      <c r="E8" s="82"/>
      <c r="F8" s="82"/>
      <c r="G8" s="82"/>
      <c r="H8" s="82"/>
      <c r="L8" s="740"/>
      <c r="M8" s="170" t="s">
        <v>42</v>
      </c>
      <c r="N8" s="175"/>
      <c r="O8" s="1287" t="str">
        <f>IF(TITLE_NAME_OR_PR_CHANGE="",IF(TITLE_NAME_OR_PR="","",TITLE_NAME_OR_PR),TITLE_NAME_OR_PR_CHANGE)</f>
        <v>Региональная служба по тарифам Ханты-Мансийского автономного округа – Югры (РСТ Югры)</v>
      </c>
      <c r="P8" s="1287"/>
      <c r="Q8" s="1287"/>
      <c r="R8" s="1287"/>
      <c r="S8" s="1287"/>
      <c r="T8" s="1287"/>
      <c r="U8" s="1287"/>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87">
        <f>IF(TITLE_DATE_CHANGE_PERIOD="",IF(TITLE_DATE_PR="","",TITLE_DATE_PR),TITLE_DATE_CHANGE_PERIOD)</f>
        <v>45999</v>
      </c>
      <c r="P9" s="1287"/>
      <c r="Q9" s="1287"/>
      <c r="R9" s="1287"/>
      <c r="S9" s="1287"/>
      <c r="T9" s="1287"/>
      <c r="U9" s="128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87" t="str">
        <f>IF(TITLE_NUMBER_PR_CHANGE="",IF(TITLE_NUMBER_PR="","",TITLE_NUMBER_PR),TITLE_NUMBER_PR_CHANGE)</f>
        <v>94-нп</v>
      </c>
      <c r="P10" s="1287"/>
      <c r="Q10" s="1287"/>
      <c r="R10" s="1287"/>
      <c r="S10" s="1287"/>
      <c r="T10" s="1287"/>
      <c r="U10" s="128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87" t="str">
        <f>IF(TITLE_IST_PUB_CHANGE="",IF(TITLE_IST_PUB="","",TITLE_IST_PUB),TITLE_IST_PUB_CHANGE)</f>
        <v>«Официальный интернет-портал правовой информации» (www.pravo.gov.ru)</v>
      </c>
      <c r="P11" s="1287"/>
      <c r="Q11" s="1287"/>
      <c r="R11" s="1287"/>
      <c r="S11" s="1287"/>
      <c r="T11" s="1287"/>
      <c r="U11" s="1287"/>
      <c r="V11" s="11"/>
      <c r="W11" s="11"/>
      <c r="X11" s="163"/>
      <c r="Y11" s="69"/>
      <c r="Z11" s="69"/>
      <c r="AA11" s="69"/>
      <c r="AB11" s="69"/>
      <c r="AC11" s="69"/>
      <c r="AD11" s="35">
        <v>23</v>
      </c>
    </row>
    <row r="12" spans="1:30" s="35" customFormat="1" ht="11.25" hidden="1" customHeight="1">
      <c r="A12" s="82"/>
      <c r="B12" s="82"/>
      <c r="C12" s="82"/>
      <c r="D12" s="82"/>
      <c r="E12" s="82"/>
      <c r="F12" s="82"/>
      <c r="G12" s="82"/>
      <c r="H12" s="82"/>
      <c r="L12" s="1589"/>
      <c r="M12" s="1589"/>
      <c r="N12" s="78"/>
      <c r="O12" s="11"/>
      <c r="P12" s="11"/>
      <c r="Q12" s="11"/>
      <c r="R12" s="11"/>
      <c r="S12" s="11"/>
      <c r="T12" s="11"/>
      <c r="U12" s="11"/>
      <c r="V12" s="68" t="s">
        <v>429</v>
      </c>
      <c r="Y12" s="69"/>
      <c r="Z12" s="69"/>
      <c r="AA12" s="69"/>
      <c r="AB12" s="69"/>
      <c r="AC12" s="69"/>
      <c r="AD12" s="35">
        <v>0</v>
      </c>
    </row>
    <row r="13" spans="1:30" ht="14.7" customHeight="1">
      <c r="J13" s="28"/>
      <c r="K13" s="28"/>
      <c r="L13" s="739"/>
      <c r="M13" s="10"/>
      <c r="N13" s="720"/>
      <c r="O13" s="1306"/>
      <c r="P13" s="1306"/>
      <c r="Q13" s="1306"/>
      <c r="R13" s="1306"/>
      <c r="S13" s="1306"/>
      <c r="T13" s="1306"/>
      <c r="U13" s="1306"/>
      <c r="V13" s="1306"/>
      <c r="AD13" s="11">
        <v>14</v>
      </c>
    </row>
    <row r="14" spans="1:30" ht="14.7" customHeight="1">
      <c r="J14" s="28"/>
      <c r="K14" s="28"/>
      <c r="L14" s="1158" t="s">
        <v>304</v>
      </c>
      <c r="M14" s="1158"/>
      <c r="N14" s="1158"/>
      <c r="O14" s="1158"/>
      <c r="P14" s="1158"/>
      <c r="Q14" s="1158"/>
      <c r="R14" s="1158"/>
      <c r="S14" s="1158"/>
      <c r="T14" s="1158"/>
      <c r="U14" s="1158"/>
      <c r="V14" s="1158"/>
      <c r="W14" s="1158"/>
      <c r="X14" s="1158" t="s">
        <v>305</v>
      </c>
      <c r="AD14" s="11">
        <v>14</v>
      </c>
    </row>
    <row r="15" spans="1:30" ht="14.7" customHeight="1">
      <c r="J15" s="28"/>
      <c r="K15" s="28"/>
      <c r="L15" s="1307" t="s">
        <v>89</v>
      </c>
      <c r="M15" s="1255" t="s">
        <v>430</v>
      </c>
      <c r="N15" s="172"/>
      <c r="O15" s="1308" t="s">
        <v>2229</v>
      </c>
      <c r="P15" s="1309"/>
      <c r="Q15" s="1309"/>
      <c r="R15" s="1309"/>
      <c r="S15" s="1309"/>
      <c r="T15" s="1309"/>
      <c r="U15" s="1310"/>
      <c r="V15" s="1311" t="s">
        <v>432</v>
      </c>
      <c r="W15" s="1314" t="s">
        <v>1147</v>
      </c>
      <c r="X15" s="1158"/>
      <c r="AD15" s="11">
        <v>14</v>
      </c>
    </row>
    <row r="16" spans="1:30" ht="35.700000000000003" customHeight="1">
      <c r="J16" s="28"/>
      <c r="K16" s="28"/>
      <c r="L16" s="1307"/>
      <c r="M16" s="1255"/>
      <c r="N16" s="607"/>
      <c r="O16" s="1227" t="s">
        <v>435</v>
      </c>
      <c r="P16" s="1227" t="s">
        <v>436</v>
      </c>
      <c r="Q16" s="1140" t="s">
        <v>437</v>
      </c>
      <c r="R16" s="1139"/>
      <c r="S16" s="1140" t="s">
        <v>450</v>
      </c>
      <c r="T16" s="1145"/>
      <c r="U16" s="1139"/>
      <c r="V16" s="1312"/>
      <c r="W16" s="1315"/>
      <c r="X16" s="1158"/>
      <c r="AD16" s="11">
        <v>34</v>
      </c>
    </row>
    <row r="17" spans="1:30" ht="35.700000000000003" customHeight="1">
      <c r="A17" s="82" t="s">
        <v>135</v>
      </c>
      <c r="B17" s="82" t="s">
        <v>136</v>
      </c>
      <c r="C17" s="82" t="s">
        <v>137</v>
      </c>
      <c r="D17" s="82" t="s">
        <v>138</v>
      </c>
      <c r="E17" s="82"/>
      <c r="J17" s="28"/>
      <c r="K17" s="28"/>
      <c r="L17" s="1307"/>
      <c r="M17" s="1255"/>
      <c r="N17" s="173"/>
      <c r="O17" s="1280"/>
      <c r="P17" s="1280"/>
      <c r="Q17" s="39" t="s">
        <v>446</v>
      </c>
      <c r="R17" s="39" t="s">
        <v>447</v>
      </c>
      <c r="S17" s="39" t="s">
        <v>448</v>
      </c>
      <c r="T17" s="1260" t="s">
        <v>449</v>
      </c>
      <c r="U17" s="1274"/>
      <c r="V17" s="1313"/>
      <c r="W17" s="1316"/>
      <c r="X17" s="1158"/>
      <c r="AD17" s="11">
        <v>34</v>
      </c>
    </row>
    <row r="18" spans="1:30" s="203" customFormat="1" ht="11.5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305">
        <f ca="1">OFFSET(T18,0,-1)+1</f>
        <v>4</v>
      </c>
      <c r="U18" s="1305"/>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88" t="str">
        <f>INDEX(PT_DIFFERENTIATION_NTAR,MATCH(A19,PT_DIFFERENTIATION_NTAR_ID,0))</f>
        <v/>
      </c>
      <c r="P19" s="1588"/>
      <c r="Q19" s="1588"/>
      <c r="R19" s="1588"/>
      <c r="S19" s="1588"/>
      <c r="T19" s="1588"/>
      <c r="U19" s="1588"/>
      <c r="V19" s="1588"/>
      <c r="W19" s="1588"/>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88" t="str">
        <f>INDEX(PT_DIFFERENTIATION_TER,MATCH(B19,PT_DIFFERENTIATION_TER_ID,0))</f>
        <v/>
      </c>
      <c r="P20" s="1588"/>
      <c r="Q20" s="1588"/>
      <c r="R20" s="1588"/>
      <c r="S20" s="1588"/>
      <c r="T20" s="1588"/>
      <c r="U20" s="1588"/>
      <c r="V20" s="1588"/>
      <c r="W20" s="1588"/>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88" t="str">
        <f>INDEX(PT_DIFFERENTIATION_CS,MATCH(C19,PT_DIFFERENTIATION_CS_ID,0))</f>
        <v/>
      </c>
      <c r="P21" s="1588"/>
      <c r="Q21" s="1588"/>
      <c r="R21" s="1588"/>
      <c r="S21" s="1588"/>
      <c r="T21" s="1588"/>
      <c r="U21" s="1588"/>
      <c r="V21" s="1588"/>
      <c r="W21" s="1588"/>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88" t="str">
        <f>INDEX(PT_DIFFERENTIATION_IST_TE,MATCH(D19,PT_DIFFERENTIATION_IST_TE_ID,0))</f>
        <v/>
      </c>
      <c r="P22" s="1588"/>
      <c r="Q22" s="1588"/>
      <c r="R22" s="1588"/>
      <c r="S22" s="1588"/>
      <c r="T22" s="1588"/>
      <c r="U22" s="1588"/>
      <c r="V22" s="1588"/>
      <c r="W22" s="1588"/>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72" t="str">
        <f>L22&amp;".1"</f>
        <v>....1</v>
      </c>
      <c r="I23" s="1298">
        <v>1</v>
      </c>
      <c r="J23" s="122"/>
      <c r="K23" s="208"/>
      <c r="L23" s="709" t="str">
        <f>$F$23</f>
        <v>....1</v>
      </c>
      <c r="M23" s="164" t="s">
        <v>408</v>
      </c>
      <c r="N23" s="171"/>
      <c r="O23" s="1328"/>
      <c r="P23" s="1328"/>
      <c r="Q23" s="1328"/>
      <c r="R23" s="1328"/>
      <c r="S23" s="1328"/>
      <c r="T23" s="1328"/>
      <c r="U23" s="1328"/>
      <c r="V23" s="1328"/>
      <c r="W23" s="1328"/>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72"/>
      <c r="G24" s="1272" t="str">
        <f>F23&amp;".1"</f>
        <v>....1.1</v>
      </c>
      <c r="I24" s="1298"/>
      <c r="J24" s="1298">
        <v>1</v>
      </c>
      <c r="K24" s="209"/>
      <c r="L24" s="709" t="str">
        <f>$G$24</f>
        <v>....1.1</v>
      </c>
      <c r="M24" s="165" t="s">
        <v>411</v>
      </c>
      <c r="N24" s="171"/>
      <c r="O24" s="1282"/>
      <c r="P24" s="1283"/>
      <c r="Q24" s="1283"/>
      <c r="R24" s="1283"/>
      <c r="S24" s="1283"/>
      <c r="T24" s="1283"/>
      <c r="U24" s="1283"/>
      <c r="V24" s="1283"/>
      <c r="W24" s="1284"/>
      <c r="X24" s="729" t="s">
        <v>412</v>
      </c>
      <c r="Z24" s="69"/>
      <c r="AA24" s="69" t="str">
        <f t="shared" si="0"/>
        <v>Группа потребителей</v>
      </c>
      <c r="AB24" s="69"/>
      <c r="AC24" s="69"/>
      <c r="AD24" s="11">
        <v>82</v>
      </c>
    </row>
    <row r="25" spans="1:30" ht="11.55" customHeight="1">
      <c r="A25" s="769" t="s">
        <v>169</v>
      </c>
      <c r="B25" s="769" t="s">
        <v>170</v>
      </c>
      <c r="C25" s="769" t="s">
        <v>171</v>
      </c>
      <c r="D25" s="769" t="s">
        <v>172</v>
      </c>
      <c r="E25" s="769"/>
      <c r="F25" s="1272"/>
      <c r="G25" s="1272"/>
      <c r="H25" s="1272" t="str">
        <f>G24&amp;".1"</f>
        <v>....1.1.1</v>
      </c>
      <c r="I25" s="1298"/>
      <c r="J25" s="1298"/>
      <c r="K25" s="209">
        <v>1</v>
      </c>
      <c r="L25" s="709" t="str">
        <f>$H$25</f>
        <v>....1.1.1</v>
      </c>
      <c r="M25" s="765"/>
      <c r="N25" s="171"/>
      <c r="O25" s="306"/>
      <c r="P25" s="191"/>
      <c r="Q25" s="306"/>
      <c r="R25" s="728"/>
      <c r="S25" s="1299"/>
      <c r="T25" s="1168" t="s">
        <v>67</v>
      </c>
      <c r="U25" s="1299"/>
      <c r="V25" s="1168" t="s">
        <v>19</v>
      </c>
      <c r="W25" s="191"/>
      <c r="X25" s="1317" t="s">
        <v>414</v>
      </c>
      <c r="Y25" s="68" t="e">
        <f ca="1">STRCHECKDATE(O26:W26)</f>
        <v>#NAME?</v>
      </c>
      <c r="Z25" s="69"/>
      <c r="AA25" s="69" t="str">
        <f t="shared" si="0"/>
        <v/>
      </c>
      <c r="AB25" s="69"/>
      <c r="AC25" s="69"/>
      <c r="AD25" s="11">
        <v>11</v>
      </c>
    </row>
    <row r="26" spans="1:30" ht="11.55" customHeight="1">
      <c r="A26" s="769" t="s">
        <v>169</v>
      </c>
      <c r="B26" s="769" t="s">
        <v>170</v>
      </c>
      <c r="C26" s="769" t="s">
        <v>171</v>
      </c>
      <c r="D26" s="769" t="s">
        <v>172</v>
      </c>
      <c r="E26" s="769"/>
      <c r="F26" s="1272"/>
      <c r="G26" s="1272"/>
      <c r="H26" s="1272"/>
      <c r="I26" s="1298"/>
      <c r="J26" s="1298"/>
      <c r="K26" s="209"/>
      <c r="L26" s="65"/>
      <c r="M26" s="171"/>
      <c r="N26" s="171"/>
      <c r="O26" s="191"/>
      <c r="P26" s="191"/>
      <c r="Q26" s="191"/>
      <c r="R26" s="192" t="str">
        <f>S25&amp;"-"&amp;U25</f>
        <v>-</v>
      </c>
      <c r="S26" s="1300"/>
      <c r="T26" s="1168"/>
      <c r="U26" s="1300"/>
      <c r="V26" s="1168"/>
      <c r="W26" s="191"/>
      <c r="X26" s="1318"/>
      <c r="Z26" s="69"/>
      <c r="AA26" s="69" t="str">
        <f t="shared" si="0"/>
        <v/>
      </c>
      <c r="AB26" s="69"/>
      <c r="AC26" s="69"/>
      <c r="AD26" s="11">
        <v>11</v>
      </c>
    </row>
    <row r="27" spans="1:30" ht="15.75" customHeight="1">
      <c r="A27" s="769" t="s">
        <v>169</v>
      </c>
      <c r="B27" s="769" t="s">
        <v>170</v>
      </c>
      <c r="C27" s="769" t="s">
        <v>171</v>
      </c>
      <c r="D27" s="769" t="s">
        <v>172</v>
      </c>
      <c r="E27" s="769"/>
      <c r="F27" s="1272"/>
      <c r="G27" s="1272"/>
      <c r="I27" s="1298"/>
      <c r="J27" s="1298"/>
      <c r="K27" s="208"/>
      <c r="L27" s="742"/>
      <c r="M27" s="167" t="s">
        <v>415</v>
      </c>
      <c r="N27" s="213"/>
      <c r="O27" s="213"/>
      <c r="P27" s="213"/>
      <c r="Q27" s="213"/>
      <c r="R27" s="213"/>
      <c r="S27" s="213"/>
      <c r="T27" s="213"/>
      <c r="U27" s="213"/>
      <c r="V27" s="213"/>
      <c r="W27" s="190"/>
      <c r="X27" s="1319"/>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72"/>
      <c r="I28" s="1298"/>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7"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7" customHeight="1">
      <c r="A30" s="769" t="s">
        <v>169</v>
      </c>
      <c r="B30" s="769" t="s">
        <v>170</v>
      </c>
      <c r="C30" s="769" t="s">
        <v>171</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7" customHeight="1">
      <c r="A31" s="769" t="s">
        <v>169</v>
      </c>
      <c r="B31" s="769" t="s">
        <v>170</v>
      </c>
      <c r="C31" s="769"/>
      <c r="D31" s="769"/>
      <c r="E31" s="769" t="s">
        <v>2230</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7" customHeight="1">
      <c r="A32" s="769" t="s">
        <v>2231</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55" customHeight="1">
      <c r="A33" s="769"/>
      <c r="B33" s="769"/>
      <c r="C33" s="769"/>
      <c r="D33" s="769"/>
      <c r="E33" s="769" t="s">
        <v>277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55" customHeight="1">
      <c r="F34" s="63"/>
      <c r="G34" s="63"/>
      <c r="H34" s="63"/>
      <c r="I34" s="11"/>
      <c r="J34" s="11"/>
      <c r="K34" s="11"/>
      <c r="Y34" s="11"/>
      <c r="Z34" s="11"/>
      <c r="AA34" s="11"/>
      <c r="AB34" s="11"/>
      <c r="AC34" s="11"/>
      <c r="AD34" s="11">
        <v>11</v>
      </c>
    </row>
    <row r="35" spans="1:30" ht="28.5" customHeight="1">
      <c r="H35" s="63"/>
      <c r="L35" s="373" t="s">
        <v>806</v>
      </c>
      <c r="M35" s="1293" t="s">
        <v>2232</v>
      </c>
      <c r="N35" s="1293"/>
      <c r="O35" s="1293"/>
      <c r="P35" s="1293"/>
      <c r="Q35" s="1293"/>
      <c r="R35" s="1293"/>
      <c r="S35" s="1293"/>
      <c r="T35" s="1293"/>
      <c r="U35" s="1293"/>
      <c r="V35" s="1293"/>
      <c r="W35" s="1293"/>
      <c r="X35" s="1293"/>
      <c r="AD35" s="11">
        <v>27</v>
      </c>
    </row>
    <row r="36" spans="1:30" ht="109.2" customHeight="1">
      <c r="H36" s="63"/>
      <c r="M36" s="1293" t="s">
        <v>2233</v>
      </c>
      <c r="N36" s="1293"/>
      <c r="O36" s="1293"/>
      <c r="P36" s="1293"/>
      <c r="Q36" s="1293"/>
      <c r="R36" s="1293"/>
      <c r="S36" s="1293"/>
      <c r="T36" s="1293"/>
      <c r="U36" s="1293"/>
      <c r="V36" s="1293"/>
      <c r="W36" s="1293"/>
      <c r="X36" s="1293"/>
      <c r="AD36" s="11">
        <v>104</v>
      </c>
    </row>
    <row r="37" spans="1:30" ht="14.7" customHeight="1">
      <c r="H37" s="63"/>
      <c r="AD37" s="11">
        <v>14</v>
      </c>
    </row>
    <row r="38" spans="1:30" ht="14.7" customHeight="1">
      <c r="H38" s="63"/>
      <c r="AD38" s="11">
        <v>14</v>
      </c>
    </row>
    <row r="39" spans="1:30" ht="14.7" customHeight="1">
      <c r="H39" s="63"/>
      <c r="AD39" s="11">
        <v>14</v>
      </c>
    </row>
    <row r="40" spans="1:30" ht="14.7"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25" style="254" hidden="1"/>
  </cols>
  <sheetData>
    <row r="1" spans="1:10" ht="11.25" hidden="1" customHeight="1">
      <c r="A1" s="7" t="s">
        <v>303</v>
      </c>
      <c r="J1" s="254" t="s">
        <v>14</v>
      </c>
    </row>
    <row r="2" spans="1:10" ht="11.25" hidden="1" customHeight="1">
      <c r="J2" s="254">
        <v>0</v>
      </c>
    </row>
    <row r="3" spans="1:10" s="272" customFormat="1" ht="11.55" customHeight="1">
      <c r="A3" s="7"/>
      <c r="B3" s="288"/>
      <c r="D3" s="273"/>
      <c r="J3" s="272">
        <v>11</v>
      </c>
    </row>
    <row r="4" spans="1:10" ht="27.3" customHeight="1">
      <c r="D4" s="1210" t="str">
        <f>ORG_INFO_NAME_FORM</f>
        <v>Форма 1. Информация об организации, осуществляющей водоотведение (общая информация)</v>
      </c>
      <c r="E4" s="1211"/>
      <c r="F4" s="1212"/>
      <c r="I4" s="413"/>
      <c r="J4" s="254">
        <v>26</v>
      </c>
    </row>
    <row r="5" spans="1:10" ht="18" customHeight="1">
      <c r="D5" s="1247" t="str">
        <f>IF(org=0,"Не определено",org)</f>
        <v>АО "Юграавиа"</v>
      </c>
      <c r="E5" s="1247"/>
      <c r="F5" s="1247"/>
      <c r="I5" s="413"/>
      <c r="J5" s="254">
        <v>17</v>
      </c>
    </row>
    <row r="6" spans="1:10" s="272" customFormat="1" ht="11.55" customHeight="1">
      <c r="A6" s="7"/>
      <c r="B6" s="288"/>
      <c r="D6" s="412"/>
      <c r="E6" s="412"/>
      <c r="F6" s="435"/>
      <c r="G6" s="412"/>
      <c r="J6" s="272">
        <v>11</v>
      </c>
    </row>
    <row r="7" spans="1:10" ht="11.25" hidden="1" customHeight="1">
      <c r="A7" s="10"/>
      <c r="B7" s="289"/>
      <c r="C7" s="10"/>
      <c r="D7" s="14"/>
      <c r="E7" s="1253"/>
      <c r="F7" s="1253"/>
      <c r="J7" s="254">
        <v>0</v>
      </c>
    </row>
    <row r="8" spans="1:10" ht="11.55" customHeight="1">
      <c r="A8" s="10"/>
      <c r="B8" s="289"/>
      <c r="C8" s="10"/>
      <c r="D8" s="1250" t="s">
        <v>304</v>
      </c>
      <c r="E8" s="1251"/>
      <c r="F8" s="1251"/>
      <c r="G8" s="1254" t="s">
        <v>305</v>
      </c>
      <c r="J8" s="254">
        <v>11</v>
      </c>
    </row>
    <row r="9" spans="1:10" ht="11.55" customHeight="1">
      <c r="A9" s="10"/>
      <c r="B9" s="289"/>
      <c r="C9" s="10"/>
      <c r="D9" s="268" t="s">
        <v>89</v>
      </c>
      <c r="E9" s="252" t="s">
        <v>306</v>
      </c>
      <c r="F9" s="252" t="s">
        <v>307</v>
      </c>
      <c r="G9" s="1255"/>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8601053210</v>
      </c>
      <c r="G14" s="317" t="s">
        <v>313</v>
      </c>
      <c r="H14" s="270"/>
      <c r="J14" s="254">
        <v>0</v>
      </c>
    </row>
    <row r="15" spans="1:10" ht="22.5" hidden="1" customHeight="1">
      <c r="A15" s="10"/>
      <c r="B15" s="289"/>
      <c r="C15" s="10"/>
      <c r="D15" s="592" t="s">
        <v>314</v>
      </c>
      <c r="E15" s="593" t="s">
        <v>315</v>
      </c>
      <c r="F15" s="362" t="str">
        <f>IF(kpp="","",kpp)</f>
        <v>860101001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48" t="s">
        <v>317</v>
      </c>
      <c r="B19" s="289"/>
      <c r="C19" s="1259"/>
      <c r="D19" s="251" t="str">
        <f>A19</f>
        <v>5.1</v>
      </c>
      <c r="E19" s="249" t="s">
        <v>318</v>
      </c>
      <c r="F19" s="39" t="s">
        <v>310</v>
      </c>
      <c r="G19" s="250" t="s">
        <v>319</v>
      </c>
      <c r="H19" s="270"/>
      <c r="I19" s="489"/>
      <c r="J19" s="254">
        <v>0</v>
      </c>
    </row>
    <row r="20" spans="1:10" ht="24" hidden="1" customHeight="1">
      <c r="A20" s="1248"/>
      <c r="B20" s="289"/>
      <c r="C20" s="1259"/>
      <c r="D20" s="247" t="str">
        <f>D19&amp;".1"</f>
        <v>5.1.1</v>
      </c>
      <c r="E20" s="246" t="s">
        <v>320</v>
      </c>
      <c r="F20" s="510" t="s">
        <v>28</v>
      </c>
      <c r="G20" s="269"/>
      <c r="H20" s="270"/>
      <c r="I20" s="489"/>
      <c r="J20" s="254">
        <v>0</v>
      </c>
    </row>
    <row r="21" spans="1:10" ht="22.5" hidden="1" customHeight="1">
      <c r="A21" s="1248"/>
      <c r="B21" s="289"/>
      <c r="C21" s="1259"/>
      <c r="D21" s="247" t="str">
        <f>D19&amp;".2"</f>
        <v>5.1.2</v>
      </c>
      <c r="E21" s="246" t="s">
        <v>321</v>
      </c>
      <c r="F21" s="942" t="s">
        <v>28</v>
      </c>
      <c r="G21" s="250" t="s">
        <v>322</v>
      </c>
      <c r="H21" s="270"/>
      <c r="I21" s="489"/>
      <c r="J21" s="254">
        <v>0</v>
      </c>
    </row>
    <row r="22" spans="1:10" ht="22.5" hidden="1" customHeight="1">
      <c r="A22" s="1248"/>
      <c r="B22" s="289"/>
      <c r="C22" s="1259"/>
      <c r="D22" s="247" t="str">
        <f>D19&amp;".3"</f>
        <v>5.1.3</v>
      </c>
      <c r="E22" s="246" t="s">
        <v>323</v>
      </c>
      <c r="F22" s="510" t="s">
        <v>28</v>
      </c>
      <c r="G22" s="269"/>
      <c r="H22" s="270"/>
      <c r="I22" s="489"/>
      <c r="J22" s="254">
        <v>0</v>
      </c>
    </row>
    <row r="23" spans="1:10" ht="22.5" hidden="1" customHeight="1">
      <c r="A23" s="1248"/>
      <c r="B23" s="289"/>
      <c r="C23" s="1259"/>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700000000000003"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700000000000003"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5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57"/>
      <c r="H40" s="270"/>
      <c r="J40" s="254">
        <v>0</v>
      </c>
    </row>
    <row r="41" spans="1:10" ht="23.25" customHeight="1">
      <c r="A41" s="10"/>
      <c r="B41" s="10"/>
      <c r="C41" s="23"/>
      <c r="D41" s="247" t="str">
        <f>D39&amp;".1"</f>
        <v>8.1</v>
      </c>
      <c r="E41" s="497"/>
      <c r="F41" s="401"/>
      <c r="G41" s="1257"/>
      <c r="H41" s="270"/>
      <c r="J41" s="254">
        <v>22</v>
      </c>
    </row>
    <row r="42" spans="1:10" ht="15.75" customHeight="1">
      <c r="A42" s="10"/>
      <c r="B42" s="289"/>
      <c r="C42" s="10"/>
      <c r="D42" s="263"/>
      <c r="E42" s="110" t="s">
        <v>343</v>
      </c>
      <c r="F42" s="265"/>
      <c r="G42" s="1258"/>
      <c r="H42" s="271"/>
      <c r="J42" s="254">
        <v>15</v>
      </c>
    </row>
    <row r="43" spans="1:10" ht="27.3"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48"/>
      <c r="B47" s="289"/>
      <c r="C47" s="282"/>
      <c r="D47" s="247" t="str">
        <f>D45&amp;".2"</f>
        <v>11.2</v>
      </c>
      <c r="E47" s="249" t="s">
        <v>347</v>
      </c>
      <c r="F47" s="113"/>
      <c r="G47" s="244" t="s">
        <v>348</v>
      </c>
      <c r="H47" s="270"/>
      <c r="J47" s="254">
        <v>23</v>
      </c>
    </row>
    <row r="48" spans="1:10" ht="24" customHeight="1">
      <c r="A48" s="1248"/>
      <c r="B48" s="289"/>
      <c r="C48" s="282"/>
      <c r="D48" s="247" t="str">
        <f>D45&amp;".3"</f>
        <v>11.3</v>
      </c>
      <c r="E48" s="249" t="s">
        <v>349</v>
      </c>
      <c r="F48" s="113"/>
      <c r="G48" s="244" t="s">
        <v>350</v>
      </c>
      <c r="H48" s="270"/>
      <c r="J48" s="254">
        <v>23</v>
      </c>
    </row>
    <row r="49" spans="1:10" ht="24" customHeight="1">
      <c r="A49" s="1248"/>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55" customHeight="1">
      <c r="A52" s="10"/>
      <c r="B52" s="289"/>
      <c r="C52" s="10"/>
      <c r="J52" s="254">
        <v>11</v>
      </c>
    </row>
    <row r="53" spans="1:10" s="258" customFormat="1" ht="31.5" customHeight="1">
      <c r="A53" s="4"/>
      <c r="B53" s="68"/>
      <c r="C53" s="1249"/>
      <c r="D53" s="125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2"/>
      <c r="F53" s="1252"/>
      <c r="G53" s="1252"/>
      <c r="H53" s="92"/>
      <c r="I53" s="92"/>
      <c r="J53" s="258">
        <v>30</v>
      </c>
    </row>
    <row r="54" spans="1:10" s="258" customFormat="1" ht="42" customHeight="1">
      <c r="A54" s="10"/>
      <c r="B54" s="289"/>
      <c r="C54" s="1249"/>
      <c r="D54" s="125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52"/>
      <c r="F54" s="1252"/>
      <c r="G54" s="1252"/>
      <c r="J54" s="258">
        <v>40</v>
      </c>
    </row>
    <row r="55" spans="1:10" ht="11.55" customHeight="1">
      <c r="D55" s="256"/>
      <c r="E55" s="257"/>
      <c r="F55" s="257"/>
      <c r="G55" s="257"/>
      <c r="J55" s="254">
        <v>11</v>
      </c>
    </row>
    <row r="56" spans="1:10" ht="28.5" customHeight="1">
      <c r="D56" s="259"/>
      <c r="E56" s="256"/>
      <c r="F56" s="266"/>
      <c r="G56" s="266"/>
      <c r="J56" s="254">
        <v>27</v>
      </c>
    </row>
    <row r="57" spans="1:10" ht="11.55" customHeight="1">
      <c r="D57" s="256"/>
      <c r="E57" s="256"/>
      <c r="F57" s="257"/>
      <c r="G57" s="257"/>
      <c r="J57" s="254">
        <v>11</v>
      </c>
    </row>
    <row r="58" spans="1:10" ht="40.950000000000003"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2" customWidth="1"/>
    <col min="2" max="2" width="8.75" style="2" customWidth="1"/>
    <col min="3" max="3" width="18.125" style="2" customWidth="1"/>
    <col min="4" max="4" width="12.625" style="2" customWidth="1"/>
  </cols>
  <sheetData>
    <row r="1" spans="1:5" ht="11.25" customHeight="1">
      <c r="A1" s="1098" t="s">
        <v>2234</v>
      </c>
      <c r="B1" s="1099" t="s">
        <v>2235</v>
      </c>
      <c r="C1" s="1592" t="s">
        <v>2236</v>
      </c>
      <c r="D1" s="1593"/>
      <c r="E1" s="436" t="s">
        <v>2237</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1663</v>
      </c>
      <c r="C4" s="436"/>
      <c r="D4" s="438"/>
      <c r="E4" s="436"/>
    </row>
    <row r="5" spans="1:5" ht="11.25" customHeight="1">
      <c r="A5" s="1104"/>
      <c r="B5" s="440" t="s">
        <v>1657</v>
      </c>
      <c r="C5" s="1105" t="s">
        <v>2001</v>
      </c>
      <c r="D5" s="1106" t="s">
        <v>2238</v>
      </c>
      <c r="E5" s="436"/>
    </row>
    <row r="6" spans="1:5" ht="11.25" customHeight="1">
      <c r="A6" s="1107"/>
      <c r="B6" s="440" t="s">
        <v>1667</v>
      </c>
      <c r="C6" s="436"/>
      <c r="D6" s="438"/>
      <c r="E6" s="436"/>
    </row>
    <row r="7" spans="1:5" ht="11.25" customHeight="1">
      <c r="A7" s="1108"/>
      <c r="B7" s="440" t="s">
        <v>1675</v>
      </c>
      <c r="C7" s="436"/>
      <c r="D7" s="438"/>
      <c r="E7" s="436"/>
    </row>
    <row r="8" spans="1:5" ht="11.25" customHeight="1">
      <c r="A8" s="437"/>
      <c r="B8" s="440" t="s">
        <v>1670</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25" defaultRowHeight="11.25" customHeight="1"/>
  <cols>
    <col min="3" max="3" width="20.75" customWidth="1"/>
    <col min="4" max="4" width="25.125" customWidth="1"/>
  </cols>
  <sheetData>
    <row r="1" spans="1:9" ht="11.25" customHeight="1">
      <c r="A1" t="s">
        <v>2239</v>
      </c>
      <c r="B1" t="s">
        <v>2240</v>
      </c>
      <c r="C1" t="s">
        <v>2241</v>
      </c>
      <c r="D1" t="s">
        <v>2242</v>
      </c>
      <c r="E1" t="s">
        <v>2243</v>
      </c>
      <c r="F1" t="s">
        <v>2244</v>
      </c>
      <c r="G1" t="s">
        <v>2245</v>
      </c>
      <c r="H1" t="s">
        <v>2246</v>
      </c>
      <c r="I1" t="s">
        <v>2247</v>
      </c>
    </row>
    <row r="2" spans="1:9" ht="11.25" customHeight="1">
      <c r="A2" t="s">
        <v>2248</v>
      </c>
      <c r="B2" t="s">
        <v>16</v>
      </c>
      <c r="C2" t="s">
        <v>2249</v>
      </c>
      <c r="D2" t="s">
        <v>2250</v>
      </c>
      <c r="E2" t="s">
        <v>2251</v>
      </c>
      <c r="F2" t="s">
        <v>2252</v>
      </c>
      <c r="G2" t="s">
        <v>28</v>
      </c>
      <c r="H2" t="s">
        <v>28</v>
      </c>
      <c r="I2" t="s">
        <v>810</v>
      </c>
    </row>
    <row r="3" spans="1:9" ht="11.25" customHeight="1">
      <c r="A3" t="s">
        <v>2248</v>
      </c>
      <c r="B3" t="s">
        <v>16</v>
      </c>
      <c r="C3" t="s">
        <v>2253</v>
      </c>
      <c r="D3" t="s">
        <v>2254</v>
      </c>
      <c r="E3" t="s">
        <v>2255</v>
      </c>
      <c r="F3" t="s">
        <v>2256</v>
      </c>
      <c r="G3" t="s">
        <v>28</v>
      </c>
      <c r="H3" t="s">
        <v>28</v>
      </c>
      <c r="I3" t="s">
        <v>810</v>
      </c>
    </row>
    <row r="4" spans="1:9" ht="11.25" customHeight="1">
      <c r="A4" t="s">
        <v>2248</v>
      </c>
      <c r="B4" t="s">
        <v>16</v>
      </c>
      <c r="C4" t="s">
        <v>2257</v>
      </c>
      <c r="D4" t="s">
        <v>2258</v>
      </c>
      <c r="E4" t="s">
        <v>2259</v>
      </c>
      <c r="F4" t="s">
        <v>2260</v>
      </c>
      <c r="G4" t="s">
        <v>28</v>
      </c>
      <c r="H4" t="s">
        <v>28</v>
      </c>
      <c r="I4" t="s">
        <v>810</v>
      </c>
    </row>
    <row r="5" spans="1:9" ht="11.25" customHeight="1">
      <c r="A5" t="s">
        <v>2248</v>
      </c>
      <c r="B5" t="s">
        <v>16</v>
      </c>
      <c r="C5" t="s">
        <v>2261</v>
      </c>
      <c r="D5" t="s">
        <v>2262</v>
      </c>
      <c r="E5" t="s">
        <v>2251</v>
      </c>
      <c r="F5" t="s">
        <v>2256</v>
      </c>
      <c r="G5" t="s">
        <v>28</v>
      </c>
      <c r="H5" t="s">
        <v>28</v>
      </c>
      <c r="I5" t="s">
        <v>810</v>
      </c>
    </row>
    <row r="6" spans="1:9" ht="11.25" customHeight="1">
      <c r="A6" t="s">
        <v>2248</v>
      </c>
      <c r="B6" t="s">
        <v>16</v>
      </c>
      <c r="C6" t="s">
        <v>2263</v>
      </c>
      <c r="D6" t="s">
        <v>2264</v>
      </c>
      <c r="E6" t="s">
        <v>2265</v>
      </c>
      <c r="F6" t="s">
        <v>2266</v>
      </c>
      <c r="G6" t="s">
        <v>2267</v>
      </c>
      <c r="H6" t="s">
        <v>28</v>
      </c>
      <c r="I6" t="s">
        <v>810</v>
      </c>
    </row>
    <row r="7" spans="1:9" ht="11.25" customHeight="1">
      <c r="A7" t="s">
        <v>2248</v>
      </c>
      <c r="B7" t="s">
        <v>16</v>
      </c>
      <c r="C7" t="s">
        <v>2268</v>
      </c>
      <c r="D7" t="s">
        <v>2269</v>
      </c>
      <c r="E7" t="s">
        <v>2270</v>
      </c>
      <c r="F7" t="s">
        <v>2271</v>
      </c>
      <c r="G7" t="s">
        <v>2272</v>
      </c>
      <c r="H7" t="s">
        <v>28</v>
      </c>
      <c r="I7" t="s">
        <v>810</v>
      </c>
    </row>
    <row r="8" spans="1:9" ht="11.25" customHeight="1">
      <c r="A8" t="s">
        <v>2248</v>
      </c>
      <c r="B8" t="s">
        <v>16</v>
      </c>
      <c r="C8" t="s">
        <v>2273</v>
      </c>
      <c r="D8" t="s">
        <v>2274</v>
      </c>
      <c r="E8" t="s">
        <v>2275</v>
      </c>
      <c r="F8" t="s">
        <v>2276</v>
      </c>
      <c r="G8" t="s">
        <v>28</v>
      </c>
      <c r="H8" t="s">
        <v>28</v>
      </c>
      <c r="I8" t="s">
        <v>810</v>
      </c>
    </row>
    <row r="9" spans="1:9" ht="11.25" customHeight="1">
      <c r="A9" t="s">
        <v>2248</v>
      </c>
      <c r="B9" t="s">
        <v>16</v>
      </c>
      <c r="C9" t="s">
        <v>2277</v>
      </c>
      <c r="D9" t="s">
        <v>2278</v>
      </c>
      <c r="E9" t="s">
        <v>2279</v>
      </c>
      <c r="F9" t="s">
        <v>2280</v>
      </c>
      <c r="G9" t="s">
        <v>28</v>
      </c>
      <c r="H9" t="s">
        <v>28</v>
      </c>
      <c r="I9" t="s">
        <v>810</v>
      </c>
    </row>
    <row r="10" spans="1:9" ht="11.25" customHeight="1">
      <c r="A10" t="s">
        <v>2248</v>
      </c>
      <c r="B10" t="s">
        <v>16</v>
      </c>
      <c r="C10" t="s">
        <v>2281</v>
      </c>
      <c r="D10" t="s">
        <v>2282</v>
      </c>
      <c r="E10" t="s">
        <v>2283</v>
      </c>
      <c r="F10" t="s">
        <v>2284</v>
      </c>
      <c r="G10" t="s">
        <v>2285</v>
      </c>
      <c r="H10" t="s">
        <v>28</v>
      </c>
      <c r="I10" t="s">
        <v>810</v>
      </c>
    </row>
    <row r="11" spans="1:9" ht="11.25" customHeight="1">
      <c r="A11" t="s">
        <v>2248</v>
      </c>
      <c r="B11" t="s">
        <v>16</v>
      </c>
      <c r="C11" t="s">
        <v>2286</v>
      </c>
      <c r="D11" t="s">
        <v>2287</v>
      </c>
      <c r="E11" t="s">
        <v>2288</v>
      </c>
      <c r="F11" t="s">
        <v>2289</v>
      </c>
      <c r="G11" t="s">
        <v>28</v>
      </c>
      <c r="H11" t="s">
        <v>28</v>
      </c>
      <c r="I11" t="s">
        <v>810</v>
      </c>
    </row>
    <row r="12" spans="1:9" ht="11.25" customHeight="1">
      <c r="A12" t="s">
        <v>2248</v>
      </c>
      <c r="B12" t="s">
        <v>16</v>
      </c>
      <c r="C12" t="s">
        <v>2290</v>
      </c>
      <c r="D12" t="s">
        <v>2291</v>
      </c>
      <c r="E12" t="s">
        <v>2292</v>
      </c>
      <c r="F12" t="s">
        <v>2293</v>
      </c>
      <c r="G12" t="s">
        <v>28</v>
      </c>
      <c r="H12" t="s">
        <v>28</v>
      </c>
      <c r="I12" t="s">
        <v>810</v>
      </c>
    </row>
    <row r="13" spans="1:9" ht="11.25" customHeight="1">
      <c r="A13" t="s">
        <v>2248</v>
      </c>
      <c r="B13" t="s">
        <v>16</v>
      </c>
      <c r="C13" t="s">
        <v>2294</v>
      </c>
      <c r="D13" t="s">
        <v>2291</v>
      </c>
      <c r="E13" t="s">
        <v>2292</v>
      </c>
      <c r="F13" t="s">
        <v>2295</v>
      </c>
      <c r="G13" t="s">
        <v>28</v>
      </c>
      <c r="H13" t="s">
        <v>28</v>
      </c>
      <c r="I13" t="s">
        <v>810</v>
      </c>
    </row>
    <row r="14" spans="1:9" ht="11.25" customHeight="1">
      <c r="A14" t="s">
        <v>2248</v>
      </c>
      <c r="B14" t="s">
        <v>16</v>
      </c>
      <c r="C14" t="s">
        <v>2296</v>
      </c>
      <c r="D14" t="s">
        <v>2297</v>
      </c>
      <c r="E14" t="s">
        <v>2298</v>
      </c>
      <c r="F14" t="s">
        <v>2299</v>
      </c>
      <c r="G14" t="s">
        <v>2300</v>
      </c>
      <c r="H14" t="s">
        <v>28</v>
      </c>
      <c r="I14" t="s">
        <v>810</v>
      </c>
    </row>
    <row r="15" spans="1:9" ht="11.25" customHeight="1">
      <c r="A15" t="s">
        <v>2248</v>
      </c>
      <c r="B15" t="s">
        <v>16</v>
      </c>
      <c r="C15" t="s">
        <v>2301</v>
      </c>
      <c r="D15" t="s">
        <v>2302</v>
      </c>
      <c r="E15" t="s">
        <v>2303</v>
      </c>
      <c r="F15" t="s">
        <v>2284</v>
      </c>
      <c r="G15" t="s">
        <v>28</v>
      </c>
      <c r="H15" t="s">
        <v>28</v>
      </c>
      <c r="I15" t="s">
        <v>810</v>
      </c>
    </row>
    <row r="16" spans="1:9" ht="11.25" customHeight="1">
      <c r="A16" t="s">
        <v>2248</v>
      </c>
      <c r="B16" t="s">
        <v>16</v>
      </c>
      <c r="C16" t="s">
        <v>2304</v>
      </c>
      <c r="D16" t="s">
        <v>2305</v>
      </c>
      <c r="E16" t="s">
        <v>2306</v>
      </c>
      <c r="F16" t="s">
        <v>2307</v>
      </c>
      <c r="G16" t="s">
        <v>28</v>
      </c>
      <c r="H16" t="s">
        <v>28</v>
      </c>
      <c r="I16" t="s">
        <v>810</v>
      </c>
    </row>
    <row r="17" spans="1:9" ht="11.25" customHeight="1">
      <c r="A17" t="s">
        <v>2248</v>
      </c>
      <c r="B17" t="s">
        <v>16</v>
      </c>
      <c r="C17" t="s">
        <v>2308</v>
      </c>
      <c r="D17" t="s">
        <v>2309</v>
      </c>
      <c r="E17" t="s">
        <v>2310</v>
      </c>
      <c r="F17" t="s">
        <v>2311</v>
      </c>
      <c r="G17" t="s">
        <v>28</v>
      </c>
      <c r="H17" t="s">
        <v>28</v>
      </c>
      <c r="I17" t="s">
        <v>810</v>
      </c>
    </row>
    <row r="18" spans="1:9" ht="11.25" customHeight="1">
      <c r="A18" t="s">
        <v>2248</v>
      </c>
      <c r="B18" t="s">
        <v>16</v>
      </c>
      <c r="C18" t="s">
        <v>2312</v>
      </c>
      <c r="D18" t="s">
        <v>2313</v>
      </c>
      <c r="E18" t="s">
        <v>2314</v>
      </c>
      <c r="F18" t="s">
        <v>2315</v>
      </c>
      <c r="G18" t="s">
        <v>28</v>
      </c>
      <c r="H18" t="s">
        <v>28</v>
      </c>
      <c r="I18" t="s">
        <v>810</v>
      </c>
    </row>
    <row r="19" spans="1:9" ht="11.25" customHeight="1">
      <c r="A19" t="s">
        <v>2248</v>
      </c>
      <c r="B19" t="s">
        <v>16</v>
      </c>
      <c r="C19" t="s">
        <v>2316</v>
      </c>
      <c r="D19" t="s">
        <v>2317</v>
      </c>
      <c r="E19" t="s">
        <v>2318</v>
      </c>
      <c r="F19" t="s">
        <v>2319</v>
      </c>
      <c r="G19" t="s">
        <v>28</v>
      </c>
      <c r="H19" t="s">
        <v>28</v>
      </c>
      <c r="I19" t="s">
        <v>810</v>
      </c>
    </row>
    <row r="20" spans="1:9" ht="11.25" customHeight="1">
      <c r="A20" t="s">
        <v>2248</v>
      </c>
      <c r="B20" t="s">
        <v>16</v>
      </c>
      <c r="C20" t="s">
        <v>2320</v>
      </c>
      <c r="D20" t="s">
        <v>2321</v>
      </c>
      <c r="E20" t="s">
        <v>2322</v>
      </c>
      <c r="F20" t="s">
        <v>2323</v>
      </c>
      <c r="G20" t="s">
        <v>28</v>
      </c>
      <c r="H20" t="s">
        <v>28</v>
      </c>
      <c r="I20" t="s">
        <v>810</v>
      </c>
    </row>
    <row r="21" spans="1:9" ht="11.25" customHeight="1">
      <c r="A21" t="s">
        <v>2248</v>
      </c>
      <c r="B21" t="s">
        <v>16</v>
      </c>
      <c r="C21" t="s">
        <v>2324</v>
      </c>
      <c r="D21" t="s">
        <v>2325</v>
      </c>
      <c r="E21" t="s">
        <v>2326</v>
      </c>
      <c r="F21" t="s">
        <v>2276</v>
      </c>
      <c r="G21" t="s">
        <v>2327</v>
      </c>
      <c r="H21" t="s">
        <v>28</v>
      </c>
      <c r="I21" t="s">
        <v>810</v>
      </c>
    </row>
    <row r="22" spans="1:9" ht="11.25" customHeight="1">
      <c r="A22" t="s">
        <v>2248</v>
      </c>
      <c r="B22" t="s">
        <v>16</v>
      </c>
      <c r="C22" t="s">
        <v>2328</v>
      </c>
      <c r="D22" t="s">
        <v>2329</v>
      </c>
      <c r="E22" t="s">
        <v>2330</v>
      </c>
      <c r="F22" t="s">
        <v>53</v>
      </c>
      <c r="G22" t="s">
        <v>2331</v>
      </c>
      <c r="H22" t="s">
        <v>28</v>
      </c>
      <c r="I22" t="s">
        <v>810</v>
      </c>
    </row>
    <row r="23" spans="1:9" ht="11.25" customHeight="1">
      <c r="A23" t="s">
        <v>2248</v>
      </c>
      <c r="B23" t="s">
        <v>16</v>
      </c>
      <c r="C23" t="s">
        <v>13</v>
      </c>
      <c r="D23" t="s">
        <v>48</v>
      </c>
      <c r="E23" t="s">
        <v>51</v>
      </c>
      <c r="F23" t="s">
        <v>53</v>
      </c>
      <c r="G23" t="s">
        <v>28</v>
      </c>
      <c r="H23" t="s">
        <v>28</v>
      </c>
      <c r="I23" t="s">
        <v>810</v>
      </c>
    </row>
    <row r="24" spans="1:9" ht="11.25" customHeight="1">
      <c r="A24" t="s">
        <v>2248</v>
      </c>
      <c r="B24" t="s">
        <v>16</v>
      </c>
      <c r="C24" t="s">
        <v>2332</v>
      </c>
      <c r="D24" t="s">
        <v>2333</v>
      </c>
      <c r="E24" t="s">
        <v>2334</v>
      </c>
      <c r="F24" t="s">
        <v>2289</v>
      </c>
      <c r="G24" t="s">
        <v>2335</v>
      </c>
      <c r="H24" t="s">
        <v>28</v>
      </c>
      <c r="I24" t="s">
        <v>810</v>
      </c>
    </row>
    <row r="25" spans="1:9" ht="11.25" customHeight="1">
      <c r="A25" t="s">
        <v>2248</v>
      </c>
      <c r="B25" t="s">
        <v>16</v>
      </c>
      <c r="C25" t="s">
        <v>2336</v>
      </c>
      <c r="D25" t="s">
        <v>2337</v>
      </c>
      <c r="E25" t="s">
        <v>2338</v>
      </c>
      <c r="F25" t="s">
        <v>2339</v>
      </c>
      <c r="G25" t="s">
        <v>28</v>
      </c>
      <c r="H25" t="s">
        <v>28</v>
      </c>
      <c r="I25" t="s">
        <v>810</v>
      </c>
    </row>
    <row r="26" spans="1:9" ht="11.25" customHeight="1">
      <c r="A26" t="s">
        <v>2248</v>
      </c>
      <c r="B26" t="s">
        <v>16</v>
      </c>
      <c r="C26" t="s">
        <v>2340</v>
      </c>
      <c r="D26" t="s">
        <v>2341</v>
      </c>
      <c r="E26" t="s">
        <v>2342</v>
      </c>
      <c r="F26" t="s">
        <v>53</v>
      </c>
      <c r="G26" t="s">
        <v>2343</v>
      </c>
      <c r="H26" t="s">
        <v>28</v>
      </c>
      <c r="I26" t="s">
        <v>810</v>
      </c>
    </row>
    <row r="27" spans="1:9" ht="11.25" customHeight="1">
      <c r="A27" t="s">
        <v>2248</v>
      </c>
      <c r="B27" t="s">
        <v>16</v>
      </c>
      <c r="C27" t="s">
        <v>2344</v>
      </c>
      <c r="D27" t="s">
        <v>2345</v>
      </c>
      <c r="E27" t="s">
        <v>2346</v>
      </c>
      <c r="F27" t="s">
        <v>53</v>
      </c>
      <c r="G27" t="s">
        <v>28</v>
      </c>
      <c r="H27" t="s">
        <v>28</v>
      </c>
      <c r="I27" t="s">
        <v>810</v>
      </c>
    </row>
    <row r="28" spans="1:9" ht="11.25" customHeight="1">
      <c r="A28" t="s">
        <v>2248</v>
      </c>
      <c r="B28" t="s">
        <v>16</v>
      </c>
      <c r="C28" t="s">
        <v>2347</v>
      </c>
      <c r="D28" t="s">
        <v>2348</v>
      </c>
      <c r="E28" t="s">
        <v>2349</v>
      </c>
      <c r="F28" t="s">
        <v>2350</v>
      </c>
      <c r="G28" t="s">
        <v>2351</v>
      </c>
      <c r="H28" t="s">
        <v>28</v>
      </c>
      <c r="I28" t="s">
        <v>810</v>
      </c>
    </row>
    <row r="29" spans="1:9" ht="11.25" customHeight="1">
      <c r="A29" t="s">
        <v>2248</v>
      </c>
      <c r="B29" t="s">
        <v>16</v>
      </c>
      <c r="C29" t="s">
        <v>2352</v>
      </c>
      <c r="D29" t="s">
        <v>2353</v>
      </c>
      <c r="E29" t="s">
        <v>2354</v>
      </c>
      <c r="F29" t="s">
        <v>2355</v>
      </c>
      <c r="G29" t="s">
        <v>2356</v>
      </c>
      <c r="H29" t="s">
        <v>28</v>
      </c>
      <c r="I29" t="s">
        <v>810</v>
      </c>
    </row>
    <row r="30" spans="1:9" ht="11.25" customHeight="1">
      <c r="A30" t="s">
        <v>2248</v>
      </c>
      <c r="B30" t="s">
        <v>16</v>
      </c>
      <c r="C30" t="s">
        <v>2357</v>
      </c>
      <c r="D30" t="s">
        <v>2358</v>
      </c>
      <c r="E30" t="s">
        <v>2359</v>
      </c>
      <c r="F30" t="s">
        <v>53</v>
      </c>
      <c r="G30" t="s">
        <v>28</v>
      </c>
      <c r="H30" t="s">
        <v>28</v>
      </c>
      <c r="I30" t="s">
        <v>810</v>
      </c>
    </row>
    <row r="31" spans="1:9" ht="11.25" customHeight="1">
      <c r="A31" t="s">
        <v>2248</v>
      </c>
      <c r="B31" t="s">
        <v>16</v>
      </c>
      <c r="C31" t="s">
        <v>2360</v>
      </c>
      <c r="D31" t="s">
        <v>2361</v>
      </c>
      <c r="E31" t="s">
        <v>2362</v>
      </c>
      <c r="F31" t="s">
        <v>2363</v>
      </c>
      <c r="G31" t="s">
        <v>28</v>
      </c>
      <c r="H31" t="s">
        <v>28</v>
      </c>
      <c r="I31" t="s">
        <v>810</v>
      </c>
    </row>
    <row r="32" spans="1:9" ht="11.25" customHeight="1">
      <c r="A32" t="s">
        <v>2248</v>
      </c>
      <c r="B32" t="s">
        <v>16</v>
      </c>
      <c r="C32" t="s">
        <v>2364</v>
      </c>
      <c r="D32" t="s">
        <v>2365</v>
      </c>
      <c r="E32" t="s">
        <v>2366</v>
      </c>
      <c r="F32" t="s">
        <v>2367</v>
      </c>
      <c r="G32" t="s">
        <v>28</v>
      </c>
      <c r="H32" t="s">
        <v>28</v>
      </c>
      <c r="I32" t="s">
        <v>810</v>
      </c>
    </row>
    <row r="33" spans="1:9" ht="11.25" customHeight="1">
      <c r="A33" t="s">
        <v>2248</v>
      </c>
      <c r="B33" t="s">
        <v>16</v>
      </c>
      <c r="C33" t="s">
        <v>2368</v>
      </c>
      <c r="D33" t="s">
        <v>2369</v>
      </c>
      <c r="E33" t="s">
        <v>2370</v>
      </c>
      <c r="F33" t="s">
        <v>2371</v>
      </c>
      <c r="G33" t="s">
        <v>28</v>
      </c>
      <c r="H33" t="s">
        <v>28</v>
      </c>
      <c r="I33" t="s">
        <v>810</v>
      </c>
    </row>
    <row r="34" spans="1:9" ht="11.25" customHeight="1">
      <c r="A34" t="s">
        <v>2248</v>
      </c>
      <c r="B34" t="s">
        <v>16</v>
      </c>
      <c r="C34" t="s">
        <v>2372</v>
      </c>
      <c r="D34" t="s">
        <v>2373</v>
      </c>
      <c r="E34" t="s">
        <v>2374</v>
      </c>
      <c r="F34" t="s">
        <v>2289</v>
      </c>
      <c r="G34" t="s">
        <v>2375</v>
      </c>
      <c r="H34" t="s">
        <v>28</v>
      </c>
      <c r="I34" t="s">
        <v>810</v>
      </c>
    </row>
    <row r="35" spans="1:9" ht="11.25" customHeight="1">
      <c r="A35" t="s">
        <v>2248</v>
      </c>
      <c r="B35" t="s">
        <v>16</v>
      </c>
      <c r="C35" t="s">
        <v>2376</v>
      </c>
      <c r="D35" t="s">
        <v>2377</v>
      </c>
      <c r="E35" t="s">
        <v>2378</v>
      </c>
      <c r="F35" t="s">
        <v>2379</v>
      </c>
      <c r="G35" t="s">
        <v>2380</v>
      </c>
      <c r="H35" t="s">
        <v>28</v>
      </c>
      <c r="I35" t="s">
        <v>810</v>
      </c>
    </row>
    <row r="36" spans="1:9" ht="11.25" customHeight="1">
      <c r="A36" t="s">
        <v>2248</v>
      </c>
      <c r="B36" t="s">
        <v>16</v>
      </c>
      <c r="C36" t="s">
        <v>2381</v>
      </c>
      <c r="D36" t="s">
        <v>2382</v>
      </c>
      <c r="E36" t="s">
        <v>2383</v>
      </c>
      <c r="F36" t="s">
        <v>2289</v>
      </c>
      <c r="G36" t="s">
        <v>2384</v>
      </c>
      <c r="H36" t="s">
        <v>28</v>
      </c>
      <c r="I36" t="s">
        <v>810</v>
      </c>
    </row>
    <row r="37" spans="1:9" ht="11.25" customHeight="1">
      <c r="A37" t="s">
        <v>2248</v>
      </c>
      <c r="B37" t="s">
        <v>16</v>
      </c>
      <c r="C37" t="s">
        <v>2385</v>
      </c>
      <c r="D37" t="s">
        <v>2386</v>
      </c>
      <c r="E37" t="s">
        <v>2387</v>
      </c>
      <c r="F37" t="s">
        <v>53</v>
      </c>
      <c r="G37" t="s">
        <v>2267</v>
      </c>
      <c r="H37" t="s">
        <v>28</v>
      </c>
      <c r="I37" t="s">
        <v>810</v>
      </c>
    </row>
    <row r="38" spans="1:9" ht="11.25" customHeight="1">
      <c r="A38" t="s">
        <v>2248</v>
      </c>
      <c r="B38" t="s">
        <v>16</v>
      </c>
      <c r="C38" t="s">
        <v>2388</v>
      </c>
      <c r="D38" t="s">
        <v>2389</v>
      </c>
      <c r="E38" t="s">
        <v>2390</v>
      </c>
      <c r="F38" t="s">
        <v>2295</v>
      </c>
      <c r="G38" t="s">
        <v>28</v>
      </c>
      <c r="H38" t="s">
        <v>28</v>
      </c>
      <c r="I38" t="s">
        <v>810</v>
      </c>
    </row>
    <row r="39" spans="1:9" ht="11.25" customHeight="1">
      <c r="A39" t="s">
        <v>2248</v>
      </c>
      <c r="B39" t="s">
        <v>16</v>
      </c>
      <c r="C39" t="s">
        <v>2391</v>
      </c>
      <c r="D39" t="s">
        <v>2392</v>
      </c>
      <c r="E39" t="s">
        <v>2393</v>
      </c>
      <c r="F39" t="s">
        <v>2284</v>
      </c>
      <c r="G39" t="s">
        <v>28</v>
      </c>
      <c r="H39" t="s">
        <v>28</v>
      </c>
      <c r="I39" t="s">
        <v>810</v>
      </c>
    </row>
    <row r="40" spans="1:9" ht="11.25" customHeight="1">
      <c r="A40" t="s">
        <v>2248</v>
      </c>
      <c r="B40" t="s">
        <v>16</v>
      </c>
      <c r="C40" t="s">
        <v>2394</v>
      </c>
      <c r="D40" t="s">
        <v>2395</v>
      </c>
      <c r="E40" t="s">
        <v>2396</v>
      </c>
      <c r="F40" t="s">
        <v>2397</v>
      </c>
      <c r="G40" t="s">
        <v>28</v>
      </c>
      <c r="H40" t="s">
        <v>28</v>
      </c>
      <c r="I40" t="s">
        <v>810</v>
      </c>
    </row>
    <row r="41" spans="1:9" ht="11.25" customHeight="1">
      <c r="A41" t="s">
        <v>2248</v>
      </c>
      <c r="B41" t="s">
        <v>16</v>
      </c>
      <c r="C41" t="s">
        <v>2398</v>
      </c>
      <c r="D41" t="s">
        <v>2399</v>
      </c>
      <c r="E41" t="s">
        <v>2400</v>
      </c>
      <c r="F41" t="s">
        <v>578</v>
      </c>
      <c r="G41" t="s">
        <v>2401</v>
      </c>
      <c r="H41" t="s">
        <v>28</v>
      </c>
      <c r="I41" t="s">
        <v>810</v>
      </c>
    </row>
    <row r="42" spans="1:9" ht="11.25" customHeight="1">
      <c r="A42" t="s">
        <v>2248</v>
      </c>
      <c r="B42" t="s">
        <v>16</v>
      </c>
      <c r="C42" t="s">
        <v>2402</v>
      </c>
      <c r="D42" t="s">
        <v>2403</v>
      </c>
      <c r="E42" t="s">
        <v>2404</v>
      </c>
      <c r="F42" t="s">
        <v>578</v>
      </c>
      <c r="G42" t="s">
        <v>2405</v>
      </c>
      <c r="H42" t="s">
        <v>28</v>
      </c>
      <c r="I42" t="s">
        <v>810</v>
      </c>
    </row>
    <row r="43" spans="1:9" ht="11.25" customHeight="1">
      <c r="A43" t="s">
        <v>2248</v>
      </c>
      <c r="B43" t="s">
        <v>16</v>
      </c>
      <c r="C43" t="s">
        <v>2406</v>
      </c>
      <c r="D43" t="s">
        <v>2407</v>
      </c>
      <c r="E43" t="s">
        <v>2408</v>
      </c>
      <c r="F43" t="s">
        <v>2409</v>
      </c>
      <c r="G43" t="s">
        <v>2410</v>
      </c>
      <c r="H43" t="s">
        <v>28</v>
      </c>
      <c r="I43" t="s">
        <v>810</v>
      </c>
    </row>
    <row r="44" spans="1:9" ht="11.25" customHeight="1">
      <c r="A44" t="s">
        <v>2248</v>
      </c>
      <c r="B44" t="s">
        <v>16</v>
      </c>
      <c r="C44" t="s">
        <v>2411</v>
      </c>
      <c r="D44" t="s">
        <v>2412</v>
      </c>
      <c r="E44" t="s">
        <v>2413</v>
      </c>
      <c r="F44" t="s">
        <v>2414</v>
      </c>
      <c r="G44" t="s">
        <v>28</v>
      </c>
      <c r="H44" t="s">
        <v>28</v>
      </c>
      <c r="I44" t="s">
        <v>810</v>
      </c>
    </row>
    <row r="45" spans="1:9" ht="11.25" customHeight="1">
      <c r="A45" t="s">
        <v>2248</v>
      </c>
      <c r="B45" t="s">
        <v>16</v>
      </c>
      <c r="C45" t="s">
        <v>2415</v>
      </c>
      <c r="D45" t="s">
        <v>2416</v>
      </c>
      <c r="E45" t="s">
        <v>2417</v>
      </c>
      <c r="F45" t="s">
        <v>2409</v>
      </c>
      <c r="G45" t="s">
        <v>2418</v>
      </c>
      <c r="H45" t="s">
        <v>28</v>
      </c>
      <c r="I45" t="s">
        <v>810</v>
      </c>
    </row>
    <row r="46" spans="1:9" ht="11.25" customHeight="1">
      <c r="A46" t="s">
        <v>2248</v>
      </c>
      <c r="B46" t="s">
        <v>16</v>
      </c>
      <c r="C46" t="s">
        <v>2419</v>
      </c>
      <c r="D46" t="s">
        <v>2420</v>
      </c>
      <c r="E46" t="s">
        <v>2421</v>
      </c>
      <c r="F46" t="s">
        <v>2271</v>
      </c>
      <c r="G46" t="s">
        <v>28</v>
      </c>
      <c r="H46" t="s">
        <v>28</v>
      </c>
      <c r="I46" t="s">
        <v>810</v>
      </c>
    </row>
    <row r="47" spans="1:9" ht="11.25" customHeight="1">
      <c r="A47" t="s">
        <v>2248</v>
      </c>
      <c r="B47" t="s">
        <v>16</v>
      </c>
      <c r="C47" t="s">
        <v>2422</v>
      </c>
      <c r="D47" t="s">
        <v>2423</v>
      </c>
      <c r="E47" t="s">
        <v>2424</v>
      </c>
      <c r="F47" t="s">
        <v>2271</v>
      </c>
      <c r="G47" t="s">
        <v>28</v>
      </c>
      <c r="H47" t="s">
        <v>28</v>
      </c>
      <c r="I47" t="s">
        <v>810</v>
      </c>
    </row>
    <row r="48" spans="1:9" ht="11.25" customHeight="1">
      <c r="A48" t="s">
        <v>2248</v>
      </c>
      <c r="B48" t="s">
        <v>16</v>
      </c>
      <c r="C48" t="s">
        <v>2425</v>
      </c>
      <c r="D48" t="s">
        <v>2426</v>
      </c>
      <c r="E48" t="s">
        <v>2427</v>
      </c>
      <c r="F48" t="s">
        <v>2299</v>
      </c>
      <c r="G48" t="s">
        <v>28</v>
      </c>
      <c r="H48" t="s">
        <v>28</v>
      </c>
      <c r="I48" t="s">
        <v>810</v>
      </c>
    </row>
    <row r="49" spans="1:9" ht="11.25" customHeight="1">
      <c r="A49" t="s">
        <v>2248</v>
      </c>
      <c r="B49" t="s">
        <v>16</v>
      </c>
      <c r="C49" t="s">
        <v>2428</v>
      </c>
      <c r="D49" t="s">
        <v>2429</v>
      </c>
      <c r="E49" t="s">
        <v>2430</v>
      </c>
      <c r="F49" t="s">
        <v>2431</v>
      </c>
      <c r="G49" t="s">
        <v>2432</v>
      </c>
      <c r="H49" t="s">
        <v>28</v>
      </c>
      <c r="I49" t="s">
        <v>810</v>
      </c>
    </row>
    <row r="50" spans="1:9" ht="11.25" customHeight="1">
      <c r="A50" t="s">
        <v>2248</v>
      </c>
      <c r="B50" t="s">
        <v>16</v>
      </c>
      <c r="C50" t="s">
        <v>2433</v>
      </c>
      <c r="D50" t="s">
        <v>2434</v>
      </c>
      <c r="E50" t="s">
        <v>2435</v>
      </c>
      <c r="F50" t="s">
        <v>2431</v>
      </c>
      <c r="G50" t="s">
        <v>2436</v>
      </c>
      <c r="H50" t="s">
        <v>28</v>
      </c>
      <c r="I50" t="s">
        <v>810</v>
      </c>
    </row>
    <row r="51" spans="1:9" ht="11.25" customHeight="1">
      <c r="A51" t="s">
        <v>2248</v>
      </c>
      <c r="B51" t="s">
        <v>16</v>
      </c>
      <c r="C51" t="s">
        <v>2437</v>
      </c>
      <c r="D51" t="s">
        <v>2438</v>
      </c>
      <c r="E51" t="s">
        <v>2439</v>
      </c>
      <c r="F51" t="s">
        <v>53</v>
      </c>
      <c r="G51" t="s">
        <v>28</v>
      </c>
      <c r="H51" t="s">
        <v>28</v>
      </c>
      <c r="I51" t="s">
        <v>810</v>
      </c>
    </row>
    <row r="52" spans="1:9" ht="11.25" customHeight="1">
      <c r="A52" t="s">
        <v>2248</v>
      </c>
      <c r="B52" t="s">
        <v>16</v>
      </c>
      <c r="C52" t="s">
        <v>2440</v>
      </c>
      <c r="D52" t="s">
        <v>2441</v>
      </c>
      <c r="E52" t="s">
        <v>2442</v>
      </c>
      <c r="F52" t="s">
        <v>2307</v>
      </c>
      <c r="G52" t="s">
        <v>28</v>
      </c>
      <c r="H52" t="s">
        <v>28</v>
      </c>
      <c r="I52" t="s">
        <v>810</v>
      </c>
    </row>
    <row r="53" spans="1:9" ht="11.25" customHeight="1">
      <c r="A53" t="s">
        <v>2248</v>
      </c>
      <c r="B53" t="s">
        <v>16</v>
      </c>
      <c r="C53" t="s">
        <v>2443</v>
      </c>
      <c r="D53" t="s">
        <v>2444</v>
      </c>
      <c r="E53" t="s">
        <v>2445</v>
      </c>
      <c r="F53" t="s">
        <v>2299</v>
      </c>
      <c r="G53" t="s">
        <v>2446</v>
      </c>
      <c r="H53" t="s">
        <v>28</v>
      </c>
      <c r="I53" t="s">
        <v>810</v>
      </c>
    </row>
    <row r="54" spans="1:9" ht="11.25" customHeight="1">
      <c r="A54" t="s">
        <v>2248</v>
      </c>
      <c r="B54" t="s">
        <v>16</v>
      </c>
      <c r="C54" t="s">
        <v>2447</v>
      </c>
      <c r="D54" t="s">
        <v>2448</v>
      </c>
      <c r="E54" t="s">
        <v>2449</v>
      </c>
      <c r="F54" t="s">
        <v>2299</v>
      </c>
      <c r="G54" t="s">
        <v>2450</v>
      </c>
      <c r="H54" t="s">
        <v>28</v>
      </c>
      <c r="I54" t="s">
        <v>810</v>
      </c>
    </row>
    <row r="55" spans="1:9" ht="11.25" customHeight="1">
      <c r="A55" t="s">
        <v>2248</v>
      </c>
      <c r="B55" t="s">
        <v>16</v>
      </c>
      <c r="C55" t="s">
        <v>2451</v>
      </c>
      <c r="D55" t="s">
        <v>2452</v>
      </c>
      <c r="E55" t="s">
        <v>2453</v>
      </c>
      <c r="F55" t="s">
        <v>2256</v>
      </c>
      <c r="G55" t="s">
        <v>28</v>
      </c>
      <c r="H55" t="s">
        <v>28</v>
      </c>
      <c r="I55" t="s">
        <v>810</v>
      </c>
    </row>
    <row r="56" spans="1:9" ht="11.25" customHeight="1">
      <c r="A56" t="s">
        <v>2248</v>
      </c>
      <c r="B56" t="s">
        <v>16</v>
      </c>
      <c r="C56" t="s">
        <v>2454</v>
      </c>
      <c r="D56" t="s">
        <v>2455</v>
      </c>
      <c r="E56" t="s">
        <v>2456</v>
      </c>
      <c r="F56" t="s">
        <v>2457</v>
      </c>
      <c r="G56" t="s">
        <v>2458</v>
      </c>
      <c r="H56" t="s">
        <v>28</v>
      </c>
      <c r="I56" t="s">
        <v>810</v>
      </c>
    </row>
    <row r="57" spans="1:9" ht="11.25" customHeight="1">
      <c r="A57" t="s">
        <v>2248</v>
      </c>
      <c r="B57" t="s">
        <v>16</v>
      </c>
      <c r="C57" t="s">
        <v>2459</v>
      </c>
      <c r="D57" t="s">
        <v>2460</v>
      </c>
      <c r="E57" t="s">
        <v>2461</v>
      </c>
      <c r="F57" t="s">
        <v>2284</v>
      </c>
      <c r="G57" t="s">
        <v>2462</v>
      </c>
      <c r="H57" t="s">
        <v>28</v>
      </c>
      <c r="I57" t="s">
        <v>810</v>
      </c>
    </row>
    <row r="58" spans="1:9" ht="11.25" customHeight="1">
      <c r="A58" t="s">
        <v>2248</v>
      </c>
      <c r="B58" t="s">
        <v>16</v>
      </c>
      <c r="C58" t="s">
        <v>2463</v>
      </c>
      <c r="D58" t="s">
        <v>2464</v>
      </c>
      <c r="E58" t="s">
        <v>2465</v>
      </c>
      <c r="F58" t="s">
        <v>2466</v>
      </c>
      <c r="G58" t="s">
        <v>28</v>
      </c>
      <c r="H58" t="s">
        <v>28</v>
      </c>
      <c r="I58" t="s">
        <v>810</v>
      </c>
    </row>
    <row r="59" spans="1:9" ht="11.25" customHeight="1">
      <c r="A59" t="s">
        <v>2248</v>
      </c>
      <c r="B59" t="s">
        <v>16</v>
      </c>
      <c r="C59" t="s">
        <v>2467</v>
      </c>
      <c r="D59" t="s">
        <v>2468</v>
      </c>
      <c r="E59" t="s">
        <v>2469</v>
      </c>
      <c r="F59" t="s">
        <v>2409</v>
      </c>
      <c r="G59" t="s">
        <v>28</v>
      </c>
      <c r="H59" t="s">
        <v>28</v>
      </c>
      <c r="I59" t="s">
        <v>810</v>
      </c>
    </row>
    <row r="60" spans="1:9" ht="11.25" customHeight="1">
      <c r="A60" t="s">
        <v>2248</v>
      </c>
      <c r="B60" t="s">
        <v>16</v>
      </c>
      <c r="C60" t="s">
        <v>2470</v>
      </c>
      <c r="D60" t="s">
        <v>2471</v>
      </c>
      <c r="E60" t="s">
        <v>2472</v>
      </c>
      <c r="F60" t="s">
        <v>2473</v>
      </c>
      <c r="G60" t="s">
        <v>28</v>
      </c>
      <c r="H60" t="s">
        <v>28</v>
      </c>
      <c r="I60" t="s">
        <v>810</v>
      </c>
    </row>
    <row r="61" spans="1:9" ht="11.25" customHeight="1">
      <c r="A61" t="s">
        <v>2248</v>
      </c>
      <c r="B61" t="s">
        <v>16</v>
      </c>
      <c r="C61" t="s">
        <v>2474</v>
      </c>
      <c r="D61" t="s">
        <v>2475</v>
      </c>
      <c r="E61" t="s">
        <v>2476</v>
      </c>
      <c r="F61" t="s">
        <v>2409</v>
      </c>
      <c r="G61" t="s">
        <v>28</v>
      </c>
      <c r="H61" t="s">
        <v>28</v>
      </c>
      <c r="I61" t="s">
        <v>810</v>
      </c>
    </row>
    <row r="62" spans="1:9" ht="11.25" customHeight="1">
      <c r="A62" t="s">
        <v>2248</v>
      </c>
      <c r="B62" t="s">
        <v>16</v>
      </c>
      <c r="C62" t="s">
        <v>2477</v>
      </c>
      <c r="D62" t="s">
        <v>2478</v>
      </c>
      <c r="E62" t="s">
        <v>2479</v>
      </c>
      <c r="F62" t="s">
        <v>2480</v>
      </c>
      <c r="G62" t="s">
        <v>28</v>
      </c>
      <c r="H62" t="s">
        <v>28</v>
      </c>
      <c r="I62" t="s">
        <v>810</v>
      </c>
    </row>
    <row r="63" spans="1:9" ht="11.25" customHeight="1">
      <c r="A63" t="s">
        <v>2248</v>
      </c>
      <c r="B63" t="s">
        <v>16</v>
      </c>
      <c r="C63" t="s">
        <v>2481</v>
      </c>
      <c r="D63" t="s">
        <v>2482</v>
      </c>
      <c r="E63" t="s">
        <v>2483</v>
      </c>
      <c r="F63" t="s">
        <v>2256</v>
      </c>
      <c r="G63" t="s">
        <v>2484</v>
      </c>
      <c r="H63" t="s">
        <v>28</v>
      </c>
      <c r="I63" t="s">
        <v>810</v>
      </c>
    </row>
    <row r="64" spans="1:9" ht="11.25" customHeight="1">
      <c r="A64" t="s">
        <v>2248</v>
      </c>
      <c r="B64" t="s">
        <v>16</v>
      </c>
      <c r="C64" t="s">
        <v>2485</v>
      </c>
      <c r="D64" t="s">
        <v>2486</v>
      </c>
      <c r="E64" t="s">
        <v>2487</v>
      </c>
      <c r="F64" t="s">
        <v>2256</v>
      </c>
      <c r="G64" t="s">
        <v>28</v>
      </c>
      <c r="H64" t="s">
        <v>28</v>
      </c>
      <c r="I64" t="s">
        <v>810</v>
      </c>
    </row>
    <row r="65" spans="1:9" ht="11.25" customHeight="1">
      <c r="A65" t="s">
        <v>2248</v>
      </c>
      <c r="B65" t="s">
        <v>16</v>
      </c>
      <c r="C65" t="s">
        <v>2488</v>
      </c>
      <c r="D65" t="s">
        <v>2489</v>
      </c>
      <c r="E65" t="s">
        <v>2490</v>
      </c>
      <c r="F65" t="s">
        <v>2491</v>
      </c>
      <c r="G65" t="s">
        <v>28</v>
      </c>
      <c r="H65" t="s">
        <v>28</v>
      </c>
      <c r="I65" t="s">
        <v>810</v>
      </c>
    </row>
    <row r="66" spans="1:9" ht="11.25" customHeight="1">
      <c r="A66" t="s">
        <v>2248</v>
      </c>
      <c r="B66" t="s">
        <v>16</v>
      </c>
      <c r="C66" t="s">
        <v>2492</v>
      </c>
      <c r="D66" t="s">
        <v>2493</v>
      </c>
      <c r="E66" t="s">
        <v>2494</v>
      </c>
      <c r="F66" t="s">
        <v>2256</v>
      </c>
      <c r="G66" t="s">
        <v>2495</v>
      </c>
      <c r="H66" t="s">
        <v>28</v>
      </c>
      <c r="I66" t="s">
        <v>810</v>
      </c>
    </row>
    <row r="67" spans="1:9" ht="11.25" customHeight="1">
      <c r="A67" t="s">
        <v>2248</v>
      </c>
      <c r="B67" t="s">
        <v>16</v>
      </c>
      <c r="C67" t="s">
        <v>2496</v>
      </c>
      <c r="D67" t="s">
        <v>2497</v>
      </c>
      <c r="E67" t="s">
        <v>2498</v>
      </c>
      <c r="F67" t="s">
        <v>2256</v>
      </c>
      <c r="G67" t="s">
        <v>2499</v>
      </c>
      <c r="H67" t="s">
        <v>28</v>
      </c>
      <c r="I67" t="s">
        <v>810</v>
      </c>
    </row>
    <row r="68" spans="1:9" ht="11.25" customHeight="1">
      <c r="A68" t="s">
        <v>2248</v>
      </c>
      <c r="B68" t="s">
        <v>16</v>
      </c>
      <c r="C68" t="s">
        <v>2500</v>
      </c>
      <c r="D68" t="s">
        <v>2501</v>
      </c>
      <c r="E68" t="s">
        <v>2502</v>
      </c>
      <c r="F68" t="s">
        <v>2256</v>
      </c>
      <c r="G68" t="s">
        <v>2495</v>
      </c>
      <c r="H68" t="s">
        <v>28</v>
      </c>
      <c r="I68" t="s">
        <v>810</v>
      </c>
    </row>
    <row r="69" spans="1:9" ht="11.25" customHeight="1">
      <c r="A69" t="s">
        <v>2248</v>
      </c>
      <c r="B69" t="s">
        <v>16</v>
      </c>
      <c r="C69" t="s">
        <v>2503</v>
      </c>
      <c r="D69" t="s">
        <v>2504</v>
      </c>
      <c r="E69" t="s">
        <v>2505</v>
      </c>
      <c r="F69" t="s">
        <v>2307</v>
      </c>
      <c r="G69" t="s">
        <v>2506</v>
      </c>
      <c r="H69" t="s">
        <v>28</v>
      </c>
      <c r="I69" t="s">
        <v>810</v>
      </c>
    </row>
    <row r="70" spans="1:9" ht="11.25" customHeight="1">
      <c r="A70" t="s">
        <v>2248</v>
      </c>
      <c r="B70" t="s">
        <v>16</v>
      </c>
      <c r="C70" t="s">
        <v>2507</v>
      </c>
      <c r="D70" t="s">
        <v>2508</v>
      </c>
      <c r="E70" t="s">
        <v>2509</v>
      </c>
      <c r="F70" t="s">
        <v>2276</v>
      </c>
      <c r="G70" t="s">
        <v>2510</v>
      </c>
      <c r="H70" t="s">
        <v>28</v>
      </c>
      <c r="I70" t="s">
        <v>810</v>
      </c>
    </row>
    <row r="71" spans="1:9" ht="11.25" customHeight="1">
      <c r="A71" t="s">
        <v>2248</v>
      </c>
      <c r="B71" t="s">
        <v>16</v>
      </c>
      <c r="C71" t="s">
        <v>2511</v>
      </c>
      <c r="D71" t="s">
        <v>2512</v>
      </c>
      <c r="E71" t="s">
        <v>2513</v>
      </c>
      <c r="F71" t="s">
        <v>2256</v>
      </c>
      <c r="G71" t="s">
        <v>2514</v>
      </c>
      <c r="H71" t="s">
        <v>28</v>
      </c>
      <c r="I71" t="s">
        <v>810</v>
      </c>
    </row>
    <row r="72" spans="1:9" ht="11.25" customHeight="1">
      <c r="A72" t="s">
        <v>2248</v>
      </c>
      <c r="B72" t="s">
        <v>16</v>
      </c>
      <c r="C72" t="s">
        <v>2515</v>
      </c>
      <c r="D72" t="s">
        <v>2516</v>
      </c>
      <c r="E72" t="s">
        <v>2517</v>
      </c>
      <c r="F72" t="s">
        <v>2473</v>
      </c>
      <c r="G72" t="s">
        <v>28</v>
      </c>
      <c r="H72" t="s">
        <v>28</v>
      </c>
      <c r="I72" t="s">
        <v>810</v>
      </c>
    </row>
    <row r="73" spans="1:9" ht="11.25" customHeight="1">
      <c r="A73" t="s">
        <v>2248</v>
      </c>
      <c r="B73" t="s">
        <v>16</v>
      </c>
      <c r="C73" t="s">
        <v>2518</v>
      </c>
      <c r="D73" t="s">
        <v>2519</v>
      </c>
      <c r="E73" t="s">
        <v>2334</v>
      </c>
      <c r="F73" t="s">
        <v>2520</v>
      </c>
      <c r="G73" t="s">
        <v>28</v>
      </c>
      <c r="H73" t="s">
        <v>28</v>
      </c>
      <c r="I73" t="s">
        <v>810</v>
      </c>
    </row>
    <row r="74" spans="1:9" ht="11.25" customHeight="1">
      <c r="A74" t="s">
        <v>2248</v>
      </c>
      <c r="B74" t="s">
        <v>16</v>
      </c>
      <c r="C74" t="s">
        <v>2521</v>
      </c>
      <c r="D74" t="s">
        <v>2522</v>
      </c>
      <c r="E74" t="s">
        <v>2523</v>
      </c>
      <c r="F74" t="s">
        <v>2256</v>
      </c>
      <c r="G74" t="s">
        <v>28</v>
      </c>
      <c r="H74" t="s">
        <v>28</v>
      </c>
      <c r="I74" t="s">
        <v>810</v>
      </c>
    </row>
    <row r="75" spans="1:9" ht="11.25" customHeight="1">
      <c r="A75" t="s">
        <v>2248</v>
      </c>
      <c r="B75" t="s">
        <v>16</v>
      </c>
      <c r="C75" t="s">
        <v>2524</v>
      </c>
      <c r="D75" t="s">
        <v>2525</v>
      </c>
      <c r="E75" t="s">
        <v>2526</v>
      </c>
      <c r="F75" t="s">
        <v>53</v>
      </c>
      <c r="G75" t="s">
        <v>2527</v>
      </c>
      <c r="H75" t="s">
        <v>28</v>
      </c>
      <c r="I75" t="s">
        <v>810</v>
      </c>
    </row>
    <row r="76" spans="1:9" ht="11.25" customHeight="1">
      <c r="A76" t="s">
        <v>2248</v>
      </c>
      <c r="B76" t="s">
        <v>16</v>
      </c>
      <c r="C76" t="s">
        <v>2528</v>
      </c>
      <c r="D76" t="s">
        <v>2529</v>
      </c>
      <c r="E76" t="s">
        <v>2530</v>
      </c>
      <c r="F76" t="s">
        <v>2531</v>
      </c>
      <c r="G76" t="s">
        <v>28</v>
      </c>
      <c r="H76" t="s">
        <v>28</v>
      </c>
      <c r="I76" t="s">
        <v>810</v>
      </c>
    </row>
    <row r="77" spans="1:9" ht="11.25" customHeight="1">
      <c r="A77" t="s">
        <v>2248</v>
      </c>
      <c r="B77" t="s">
        <v>16</v>
      </c>
      <c r="C77" t="s">
        <v>2532</v>
      </c>
      <c r="D77" t="s">
        <v>2533</v>
      </c>
      <c r="E77" t="s">
        <v>2534</v>
      </c>
      <c r="F77" t="s">
        <v>2414</v>
      </c>
      <c r="G77" t="s">
        <v>28</v>
      </c>
      <c r="H77" t="s">
        <v>28</v>
      </c>
      <c r="I77" t="s">
        <v>810</v>
      </c>
    </row>
    <row r="78" spans="1:9" ht="11.25" customHeight="1">
      <c r="A78" t="s">
        <v>2248</v>
      </c>
      <c r="B78" t="s">
        <v>16</v>
      </c>
      <c r="C78" t="s">
        <v>2535</v>
      </c>
      <c r="D78" t="s">
        <v>2536</v>
      </c>
      <c r="E78" t="s">
        <v>2537</v>
      </c>
      <c r="F78" t="s">
        <v>2289</v>
      </c>
      <c r="G78" t="s">
        <v>28</v>
      </c>
      <c r="H78" t="s">
        <v>28</v>
      </c>
      <c r="I78" t="s">
        <v>810</v>
      </c>
    </row>
    <row r="79" spans="1:9" ht="11.25" customHeight="1">
      <c r="A79" t="s">
        <v>2248</v>
      </c>
      <c r="B79" t="s">
        <v>16</v>
      </c>
      <c r="C79" t="s">
        <v>2538</v>
      </c>
      <c r="D79" t="s">
        <v>2539</v>
      </c>
      <c r="E79" t="s">
        <v>2318</v>
      </c>
      <c r="F79" t="s">
        <v>2540</v>
      </c>
      <c r="G79" t="s">
        <v>28</v>
      </c>
      <c r="H79" t="s">
        <v>28</v>
      </c>
      <c r="I79" t="s">
        <v>810</v>
      </c>
    </row>
    <row r="80" spans="1:9" ht="11.25" customHeight="1">
      <c r="A80" t="s">
        <v>2248</v>
      </c>
      <c r="B80" t="s">
        <v>16</v>
      </c>
      <c r="C80" t="s">
        <v>2541</v>
      </c>
      <c r="D80" t="s">
        <v>2542</v>
      </c>
      <c r="E80" t="s">
        <v>2543</v>
      </c>
      <c r="F80" t="s">
        <v>2544</v>
      </c>
      <c r="G80" t="s">
        <v>28</v>
      </c>
      <c r="H80" t="s">
        <v>28</v>
      </c>
      <c r="I80" t="s">
        <v>810</v>
      </c>
    </row>
    <row r="81" spans="1:9" ht="11.25" customHeight="1">
      <c r="A81" t="s">
        <v>2248</v>
      </c>
      <c r="B81" t="s">
        <v>16</v>
      </c>
      <c r="C81" t="s">
        <v>2545</v>
      </c>
      <c r="D81" t="s">
        <v>2546</v>
      </c>
      <c r="E81" t="s">
        <v>2547</v>
      </c>
      <c r="F81" t="s">
        <v>2491</v>
      </c>
      <c r="G81" t="s">
        <v>2548</v>
      </c>
      <c r="H81" t="s">
        <v>28</v>
      </c>
      <c r="I81" t="s">
        <v>810</v>
      </c>
    </row>
    <row r="82" spans="1:9" ht="11.25" customHeight="1">
      <c r="A82" t="s">
        <v>2248</v>
      </c>
      <c r="B82" t="s">
        <v>16</v>
      </c>
      <c r="C82" t="s">
        <v>2549</v>
      </c>
      <c r="D82" t="s">
        <v>2550</v>
      </c>
      <c r="E82" t="s">
        <v>2551</v>
      </c>
      <c r="F82" t="s">
        <v>2552</v>
      </c>
      <c r="G82" t="s">
        <v>2553</v>
      </c>
      <c r="H82" t="s">
        <v>28</v>
      </c>
      <c r="I82" t="s">
        <v>810</v>
      </c>
    </row>
    <row r="83" spans="1:9" ht="11.25" customHeight="1">
      <c r="A83" t="s">
        <v>2248</v>
      </c>
      <c r="B83" t="s">
        <v>16</v>
      </c>
      <c r="C83" t="s">
        <v>2554</v>
      </c>
      <c r="D83" t="s">
        <v>2550</v>
      </c>
      <c r="E83" t="s">
        <v>2551</v>
      </c>
      <c r="F83" t="s">
        <v>2555</v>
      </c>
      <c r="G83" t="s">
        <v>28</v>
      </c>
      <c r="H83" t="s">
        <v>28</v>
      </c>
      <c r="I83" t="s">
        <v>810</v>
      </c>
    </row>
    <row r="84" spans="1:9" ht="11.25" customHeight="1">
      <c r="A84" t="s">
        <v>2248</v>
      </c>
      <c r="B84" t="s">
        <v>16</v>
      </c>
      <c r="C84" t="s">
        <v>2556</v>
      </c>
      <c r="D84" t="s">
        <v>2557</v>
      </c>
      <c r="E84" t="s">
        <v>2251</v>
      </c>
      <c r="F84" t="s">
        <v>2558</v>
      </c>
      <c r="G84" t="s">
        <v>28</v>
      </c>
      <c r="H84" t="s">
        <v>28</v>
      </c>
      <c r="I84" t="s">
        <v>810</v>
      </c>
    </row>
    <row r="85" spans="1:9" ht="11.25" customHeight="1">
      <c r="A85" t="s">
        <v>2248</v>
      </c>
      <c r="B85" t="s">
        <v>16</v>
      </c>
      <c r="C85" t="s">
        <v>2559</v>
      </c>
      <c r="D85" t="s">
        <v>2560</v>
      </c>
      <c r="E85" t="s">
        <v>2251</v>
      </c>
      <c r="F85" t="s">
        <v>2561</v>
      </c>
      <c r="G85" t="s">
        <v>28</v>
      </c>
      <c r="H85" t="s">
        <v>28</v>
      </c>
      <c r="I85" t="s">
        <v>810</v>
      </c>
    </row>
    <row r="86" spans="1:9" ht="11.25" customHeight="1">
      <c r="A86" t="s">
        <v>2248</v>
      </c>
      <c r="B86" t="s">
        <v>16</v>
      </c>
      <c r="C86" t="s">
        <v>2562</v>
      </c>
      <c r="D86" t="s">
        <v>2563</v>
      </c>
      <c r="E86" t="s">
        <v>2251</v>
      </c>
      <c r="F86" t="s">
        <v>2564</v>
      </c>
      <c r="G86" t="s">
        <v>28</v>
      </c>
      <c r="H86" t="s">
        <v>28</v>
      </c>
      <c r="I86" t="s">
        <v>810</v>
      </c>
    </row>
    <row r="87" spans="1:9" ht="11.25" customHeight="1">
      <c r="A87" t="s">
        <v>2248</v>
      </c>
      <c r="B87" t="s">
        <v>16</v>
      </c>
      <c r="C87" t="s">
        <v>2565</v>
      </c>
      <c r="D87" t="s">
        <v>2566</v>
      </c>
      <c r="E87" t="s">
        <v>2251</v>
      </c>
      <c r="F87" t="s">
        <v>2567</v>
      </c>
      <c r="G87" t="s">
        <v>28</v>
      </c>
      <c r="H87" t="s">
        <v>28</v>
      </c>
      <c r="I87" t="s">
        <v>810</v>
      </c>
    </row>
    <row r="88" spans="1:9" ht="11.25" customHeight="1">
      <c r="A88" t="s">
        <v>2248</v>
      </c>
      <c r="B88" t="s">
        <v>16</v>
      </c>
      <c r="C88" t="s">
        <v>2568</v>
      </c>
      <c r="D88" t="s">
        <v>2569</v>
      </c>
      <c r="E88" t="s">
        <v>2251</v>
      </c>
      <c r="F88" t="s">
        <v>2570</v>
      </c>
      <c r="G88" t="s">
        <v>28</v>
      </c>
      <c r="H88" t="s">
        <v>28</v>
      </c>
      <c r="I88" t="s">
        <v>810</v>
      </c>
    </row>
    <row r="89" spans="1:9" ht="11.25" customHeight="1">
      <c r="A89" t="s">
        <v>2248</v>
      </c>
      <c r="B89" t="s">
        <v>16</v>
      </c>
      <c r="C89" t="s">
        <v>2571</v>
      </c>
      <c r="D89" t="s">
        <v>2572</v>
      </c>
      <c r="E89" t="s">
        <v>2251</v>
      </c>
      <c r="F89" t="s">
        <v>2573</v>
      </c>
      <c r="G89" t="s">
        <v>28</v>
      </c>
      <c r="H89" t="s">
        <v>28</v>
      </c>
      <c r="I89" t="s">
        <v>810</v>
      </c>
    </row>
    <row r="90" spans="1:9" ht="11.25" customHeight="1">
      <c r="A90" t="s">
        <v>2248</v>
      </c>
      <c r="B90" t="s">
        <v>16</v>
      </c>
      <c r="C90" t="s">
        <v>2574</v>
      </c>
      <c r="D90" t="s">
        <v>2575</v>
      </c>
      <c r="E90" t="s">
        <v>2251</v>
      </c>
      <c r="F90" t="s">
        <v>2576</v>
      </c>
      <c r="G90" t="s">
        <v>28</v>
      </c>
      <c r="H90" t="s">
        <v>28</v>
      </c>
      <c r="I90" t="s">
        <v>810</v>
      </c>
    </row>
    <row r="91" spans="1:9" ht="11.25" customHeight="1">
      <c r="A91" t="s">
        <v>2248</v>
      </c>
      <c r="B91" t="s">
        <v>16</v>
      </c>
      <c r="C91" t="s">
        <v>2577</v>
      </c>
      <c r="D91" t="s">
        <v>2578</v>
      </c>
      <c r="E91" t="s">
        <v>2251</v>
      </c>
      <c r="F91" t="s">
        <v>2579</v>
      </c>
      <c r="G91" t="s">
        <v>28</v>
      </c>
      <c r="H91" t="s">
        <v>28</v>
      </c>
      <c r="I91" t="s">
        <v>810</v>
      </c>
    </row>
    <row r="92" spans="1:9" ht="11.25" customHeight="1">
      <c r="A92" t="s">
        <v>2248</v>
      </c>
      <c r="B92" t="s">
        <v>16</v>
      </c>
      <c r="C92" t="s">
        <v>2580</v>
      </c>
      <c r="D92" t="s">
        <v>2581</v>
      </c>
      <c r="E92" t="s">
        <v>2251</v>
      </c>
      <c r="F92" t="s">
        <v>2582</v>
      </c>
      <c r="G92" t="s">
        <v>28</v>
      </c>
      <c r="H92" t="s">
        <v>28</v>
      </c>
      <c r="I92" t="s">
        <v>810</v>
      </c>
    </row>
    <row r="93" spans="1:9" ht="11.25" customHeight="1">
      <c r="A93" t="s">
        <v>2248</v>
      </c>
      <c r="B93" t="s">
        <v>16</v>
      </c>
      <c r="C93" t="s">
        <v>2583</v>
      </c>
      <c r="D93" t="s">
        <v>2584</v>
      </c>
      <c r="E93" t="s">
        <v>2251</v>
      </c>
      <c r="F93" t="s">
        <v>2585</v>
      </c>
      <c r="G93" t="s">
        <v>28</v>
      </c>
      <c r="H93" t="s">
        <v>28</v>
      </c>
      <c r="I93" t="s">
        <v>810</v>
      </c>
    </row>
    <row r="94" spans="1:9" ht="11.25" customHeight="1">
      <c r="A94" t="s">
        <v>2248</v>
      </c>
      <c r="B94" t="s">
        <v>16</v>
      </c>
      <c r="C94" t="s">
        <v>2586</v>
      </c>
      <c r="D94" t="s">
        <v>2587</v>
      </c>
      <c r="E94" t="s">
        <v>2588</v>
      </c>
      <c r="F94" t="s">
        <v>2589</v>
      </c>
      <c r="G94" t="s">
        <v>28</v>
      </c>
      <c r="H94" t="s">
        <v>28</v>
      </c>
      <c r="I94" t="s">
        <v>810</v>
      </c>
    </row>
    <row r="95" spans="1:9" ht="11.25" customHeight="1">
      <c r="A95" t="s">
        <v>2248</v>
      </c>
      <c r="B95" t="s">
        <v>16</v>
      </c>
      <c r="C95" t="s">
        <v>2590</v>
      </c>
      <c r="D95" t="s">
        <v>2591</v>
      </c>
      <c r="E95" t="s">
        <v>2588</v>
      </c>
      <c r="F95" t="s">
        <v>2592</v>
      </c>
      <c r="G95" t="s">
        <v>28</v>
      </c>
      <c r="H95" t="s">
        <v>28</v>
      </c>
      <c r="I95" t="s">
        <v>810</v>
      </c>
    </row>
    <row r="96" spans="1:9" ht="11.25" customHeight="1">
      <c r="A96" t="s">
        <v>2248</v>
      </c>
      <c r="B96" t="s">
        <v>16</v>
      </c>
      <c r="C96" t="s">
        <v>2593</v>
      </c>
      <c r="D96" t="s">
        <v>2594</v>
      </c>
      <c r="E96" t="s">
        <v>2588</v>
      </c>
      <c r="F96" t="s">
        <v>2595</v>
      </c>
      <c r="G96" t="s">
        <v>28</v>
      </c>
      <c r="H96" t="s">
        <v>28</v>
      </c>
      <c r="I96" t="s">
        <v>810</v>
      </c>
    </row>
    <row r="97" spans="1:9" ht="11.25" customHeight="1">
      <c r="A97" t="s">
        <v>2248</v>
      </c>
      <c r="B97" t="s">
        <v>16</v>
      </c>
      <c r="C97" t="s">
        <v>2596</v>
      </c>
      <c r="D97" t="s">
        <v>2597</v>
      </c>
      <c r="E97" t="s">
        <v>2598</v>
      </c>
      <c r="F97" t="s">
        <v>2599</v>
      </c>
      <c r="G97" t="s">
        <v>2600</v>
      </c>
      <c r="H97" t="s">
        <v>28</v>
      </c>
      <c r="I97" t="s">
        <v>810</v>
      </c>
    </row>
    <row r="98" spans="1:9" ht="11.25" customHeight="1">
      <c r="A98" t="s">
        <v>2248</v>
      </c>
      <c r="B98" t="s">
        <v>16</v>
      </c>
      <c r="C98" t="s">
        <v>2601</v>
      </c>
      <c r="D98" t="s">
        <v>2602</v>
      </c>
      <c r="E98" t="s">
        <v>2603</v>
      </c>
      <c r="F98" t="s">
        <v>2284</v>
      </c>
      <c r="G98" t="s">
        <v>28</v>
      </c>
      <c r="H98" t="s">
        <v>28</v>
      </c>
      <c r="I98" t="s">
        <v>810</v>
      </c>
    </row>
    <row r="99" spans="1:9" ht="11.25" customHeight="1">
      <c r="A99" t="s">
        <v>2248</v>
      </c>
      <c r="B99" t="s">
        <v>16</v>
      </c>
      <c r="C99" t="s">
        <v>2604</v>
      </c>
      <c r="D99" t="s">
        <v>2605</v>
      </c>
      <c r="E99" t="s">
        <v>2606</v>
      </c>
      <c r="F99" t="s">
        <v>2284</v>
      </c>
      <c r="G99" t="s">
        <v>28</v>
      </c>
      <c r="H99" t="s">
        <v>28</v>
      </c>
      <c r="I99" t="s">
        <v>810</v>
      </c>
    </row>
    <row r="100" spans="1:9" ht="11.25" customHeight="1">
      <c r="A100" t="s">
        <v>2248</v>
      </c>
      <c r="B100" t="s">
        <v>16</v>
      </c>
      <c r="C100" t="s">
        <v>2607</v>
      </c>
      <c r="D100" t="s">
        <v>2608</v>
      </c>
      <c r="E100" t="s">
        <v>2609</v>
      </c>
      <c r="F100" t="s">
        <v>2599</v>
      </c>
      <c r="G100" t="s">
        <v>2600</v>
      </c>
      <c r="H100" t="s">
        <v>28</v>
      </c>
      <c r="I100" t="s">
        <v>810</v>
      </c>
    </row>
    <row r="101" spans="1:9" ht="11.25" customHeight="1">
      <c r="A101" t="s">
        <v>2248</v>
      </c>
      <c r="B101" t="s">
        <v>16</v>
      </c>
      <c r="C101" t="s">
        <v>2610</v>
      </c>
      <c r="D101" t="s">
        <v>2611</v>
      </c>
      <c r="E101" t="s">
        <v>2259</v>
      </c>
      <c r="F101" t="s">
        <v>2612</v>
      </c>
      <c r="G101" t="s">
        <v>28</v>
      </c>
      <c r="H101" t="s">
        <v>28</v>
      </c>
      <c r="I101" t="s">
        <v>810</v>
      </c>
    </row>
    <row r="102" spans="1:9" ht="11.25" customHeight="1">
      <c r="A102" t="s">
        <v>2248</v>
      </c>
      <c r="B102" t="s">
        <v>16</v>
      </c>
      <c r="C102" t="s">
        <v>2613</v>
      </c>
      <c r="D102" t="s">
        <v>2614</v>
      </c>
      <c r="E102" t="s">
        <v>2259</v>
      </c>
      <c r="F102" t="s">
        <v>2414</v>
      </c>
      <c r="G102" t="s">
        <v>28</v>
      </c>
      <c r="H102" t="s">
        <v>28</v>
      </c>
      <c r="I102" t="s">
        <v>810</v>
      </c>
    </row>
    <row r="103" spans="1:9" ht="11.25" customHeight="1">
      <c r="A103" t="s">
        <v>2248</v>
      </c>
      <c r="B103" t="s">
        <v>16</v>
      </c>
      <c r="C103" t="s">
        <v>2615</v>
      </c>
      <c r="D103" t="s">
        <v>2616</v>
      </c>
      <c r="E103" t="s">
        <v>2617</v>
      </c>
      <c r="F103" t="s">
        <v>2618</v>
      </c>
      <c r="G103" t="s">
        <v>28</v>
      </c>
      <c r="H103" t="s">
        <v>28</v>
      </c>
      <c r="I103" t="s">
        <v>810</v>
      </c>
    </row>
    <row r="104" spans="1:9" ht="11.25" customHeight="1">
      <c r="A104" t="s">
        <v>2248</v>
      </c>
      <c r="B104" t="s">
        <v>16</v>
      </c>
      <c r="C104" t="s">
        <v>2619</v>
      </c>
      <c r="D104" t="s">
        <v>2616</v>
      </c>
      <c r="E104" t="s">
        <v>2617</v>
      </c>
      <c r="F104" t="s">
        <v>2620</v>
      </c>
      <c r="G104" t="s">
        <v>2621</v>
      </c>
      <c r="H104" t="s">
        <v>28</v>
      </c>
      <c r="I104" t="s">
        <v>810</v>
      </c>
    </row>
    <row r="105" spans="1:9" ht="11.25" customHeight="1">
      <c r="A105" t="s">
        <v>2248</v>
      </c>
      <c r="B105" t="s">
        <v>16</v>
      </c>
      <c r="C105" t="s">
        <v>2622</v>
      </c>
      <c r="D105" t="s">
        <v>2623</v>
      </c>
      <c r="E105" t="s">
        <v>2624</v>
      </c>
      <c r="F105" t="s">
        <v>2284</v>
      </c>
      <c r="G105" t="s">
        <v>2625</v>
      </c>
      <c r="H105" t="s">
        <v>28</v>
      </c>
      <c r="I105" t="s">
        <v>810</v>
      </c>
    </row>
    <row r="106" spans="1:9" ht="11.25" customHeight="1">
      <c r="A106" t="s">
        <v>2248</v>
      </c>
      <c r="B106" t="s">
        <v>16</v>
      </c>
      <c r="C106" t="s">
        <v>2626</v>
      </c>
      <c r="D106" t="s">
        <v>2627</v>
      </c>
      <c r="E106" t="s">
        <v>2628</v>
      </c>
      <c r="F106" t="s">
        <v>2307</v>
      </c>
      <c r="G106" t="s">
        <v>28</v>
      </c>
      <c r="H106" t="s">
        <v>28</v>
      </c>
      <c r="I106" t="s">
        <v>810</v>
      </c>
    </row>
    <row r="107" spans="1:9" ht="11.25" customHeight="1">
      <c r="A107" t="s">
        <v>2248</v>
      </c>
      <c r="B107" t="s">
        <v>16</v>
      </c>
      <c r="C107" t="s">
        <v>2629</v>
      </c>
      <c r="D107" t="s">
        <v>2630</v>
      </c>
      <c r="E107" t="s">
        <v>2631</v>
      </c>
      <c r="F107" t="s">
        <v>2295</v>
      </c>
      <c r="G107" t="s">
        <v>28</v>
      </c>
      <c r="H107" t="s">
        <v>28</v>
      </c>
      <c r="I107" t="s">
        <v>810</v>
      </c>
    </row>
    <row r="108" spans="1:9" ht="11.25" customHeight="1">
      <c r="A108" t="s">
        <v>2248</v>
      </c>
      <c r="B108" t="s">
        <v>16</v>
      </c>
      <c r="C108" t="s">
        <v>2632</v>
      </c>
      <c r="D108" t="s">
        <v>2633</v>
      </c>
      <c r="E108" t="s">
        <v>2634</v>
      </c>
      <c r="F108" t="s">
        <v>2339</v>
      </c>
      <c r="G108" t="s">
        <v>28</v>
      </c>
      <c r="H108" t="s">
        <v>28</v>
      </c>
      <c r="I108" t="s">
        <v>810</v>
      </c>
    </row>
    <row r="109" spans="1:9" ht="11.25" customHeight="1">
      <c r="A109" t="s">
        <v>2248</v>
      </c>
      <c r="B109" t="s">
        <v>16</v>
      </c>
      <c r="C109" t="s">
        <v>2635</v>
      </c>
      <c r="D109" t="s">
        <v>2636</v>
      </c>
      <c r="E109" t="s">
        <v>2637</v>
      </c>
      <c r="F109" t="s">
        <v>2457</v>
      </c>
      <c r="G109" t="s">
        <v>28</v>
      </c>
      <c r="H109" t="s">
        <v>28</v>
      </c>
      <c r="I109" t="s">
        <v>810</v>
      </c>
    </row>
    <row r="110" spans="1:9" ht="11.25" customHeight="1">
      <c r="A110" t="s">
        <v>2248</v>
      </c>
      <c r="B110" t="s">
        <v>16</v>
      </c>
      <c r="C110" t="s">
        <v>2638</v>
      </c>
      <c r="D110" t="s">
        <v>2639</v>
      </c>
      <c r="E110" t="s">
        <v>2640</v>
      </c>
      <c r="F110" t="s">
        <v>2350</v>
      </c>
      <c r="G110" t="s">
        <v>28</v>
      </c>
      <c r="H110" t="s">
        <v>28</v>
      </c>
      <c r="I110" t="s">
        <v>810</v>
      </c>
    </row>
    <row r="111" spans="1:9" ht="11.25" customHeight="1">
      <c r="A111" t="s">
        <v>2248</v>
      </c>
      <c r="B111" t="s">
        <v>16</v>
      </c>
      <c r="C111" t="s">
        <v>2641</v>
      </c>
      <c r="D111" t="s">
        <v>2642</v>
      </c>
      <c r="E111" t="s">
        <v>2643</v>
      </c>
      <c r="F111" t="s">
        <v>2256</v>
      </c>
      <c r="G111" t="s">
        <v>2644</v>
      </c>
      <c r="H111" t="s">
        <v>28</v>
      </c>
      <c r="I111" t="s">
        <v>810</v>
      </c>
    </row>
    <row r="112" spans="1:9" ht="11.25" customHeight="1">
      <c r="A112" t="s">
        <v>2248</v>
      </c>
      <c r="B112" t="s">
        <v>16</v>
      </c>
      <c r="C112" t="s">
        <v>2645</v>
      </c>
      <c r="D112" t="s">
        <v>2646</v>
      </c>
      <c r="E112" t="s">
        <v>2647</v>
      </c>
      <c r="F112" t="s">
        <v>2648</v>
      </c>
      <c r="G112" t="s">
        <v>28</v>
      </c>
      <c r="H112" t="s">
        <v>28</v>
      </c>
      <c r="I112" t="s">
        <v>810</v>
      </c>
    </row>
    <row r="113" spans="1:9" ht="11.25" customHeight="1">
      <c r="A113" t="s">
        <v>2248</v>
      </c>
      <c r="B113" t="s">
        <v>16</v>
      </c>
      <c r="C113" t="s">
        <v>2649</v>
      </c>
      <c r="D113" t="s">
        <v>2650</v>
      </c>
      <c r="E113" t="s">
        <v>2651</v>
      </c>
      <c r="F113" t="s">
        <v>2289</v>
      </c>
      <c r="G113" t="s">
        <v>2652</v>
      </c>
      <c r="H113" t="s">
        <v>28</v>
      </c>
      <c r="I113" t="s">
        <v>810</v>
      </c>
    </row>
    <row r="114" spans="1:9" ht="11.25" customHeight="1">
      <c r="A114" t="s">
        <v>2248</v>
      </c>
      <c r="B114" t="s">
        <v>16</v>
      </c>
      <c r="C114" t="s">
        <v>2653</v>
      </c>
      <c r="D114" t="s">
        <v>2654</v>
      </c>
      <c r="E114" t="s">
        <v>2655</v>
      </c>
      <c r="F114" t="s">
        <v>2466</v>
      </c>
      <c r="G114" t="s">
        <v>28</v>
      </c>
      <c r="H114" t="s">
        <v>28</v>
      </c>
      <c r="I114" t="s">
        <v>810</v>
      </c>
    </row>
    <row r="115" spans="1:9" ht="11.25" customHeight="1">
      <c r="A115" t="s">
        <v>2248</v>
      </c>
      <c r="B115" t="s">
        <v>16</v>
      </c>
      <c r="C115" t="s">
        <v>2656</v>
      </c>
      <c r="D115" t="s">
        <v>2657</v>
      </c>
      <c r="E115" t="s">
        <v>2658</v>
      </c>
      <c r="F115" t="s">
        <v>2409</v>
      </c>
      <c r="G115" t="s">
        <v>28</v>
      </c>
      <c r="H115" t="s">
        <v>28</v>
      </c>
      <c r="I115" t="s">
        <v>810</v>
      </c>
    </row>
    <row r="116" spans="1:9" ht="11.25" customHeight="1">
      <c r="A116" t="s">
        <v>2248</v>
      </c>
      <c r="B116" t="s">
        <v>16</v>
      </c>
      <c r="C116" t="s">
        <v>2659</v>
      </c>
      <c r="D116" t="s">
        <v>2660</v>
      </c>
      <c r="E116" t="s">
        <v>2661</v>
      </c>
      <c r="F116" t="s">
        <v>2289</v>
      </c>
      <c r="G116" t="s">
        <v>2662</v>
      </c>
      <c r="H116" t="s">
        <v>28</v>
      </c>
      <c r="I116" t="s">
        <v>810</v>
      </c>
    </row>
    <row r="117" spans="1:9" ht="11.25" customHeight="1">
      <c r="A117" t="s">
        <v>2248</v>
      </c>
      <c r="B117" t="s">
        <v>16</v>
      </c>
      <c r="C117" t="s">
        <v>2663</v>
      </c>
      <c r="D117" t="s">
        <v>2664</v>
      </c>
      <c r="E117" t="s">
        <v>2665</v>
      </c>
      <c r="F117" t="s">
        <v>2289</v>
      </c>
      <c r="G117" t="s">
        <v>28</v>
      </c>
      <c r="H117" t="s">
        <v>28</v>
      </c>
      <c r="I117" t="s">
        <v>810</v>
      </c>
    </row>
    <row r="118" spans="1:9" ht="11.25" customHeight="1">
      <c r="A118" t="s">
        <v>2248</v>
      </c>
      <c r="B118" t="s">
        <v>16</v>
      </c>
      <c r="C118" t="s">
        <v>2666</v>
      </c>
      <c r="D118" t="s">
        <v>2667</v>
      </c>
      <c r="E118" t="s">
        <v>2668</v>
      </c>
      <c r="F118" t="s">
        <v>2466</v>
      </c>
      <c r="G118" t="s">
        <v>28</v>
      </c>
      <c r="H118" t="s">
        <v>28</v>
      </c>
      <c r="I118" t="s">
        <v>810</v>
      </c>
    </row>
    <row r="119" spans="1:9" ht="11.25" customHeight="1">
      <c r="A119" t="s">
        <v>2248</v>
      </c>
      <c r="B119" t="s">
        <v>16</v>
      </c>
      <c r="C119" t="s">
        <v>2669</v>
      </c>
      <c r="D119" t="s">
        <v>2670</v>
      </c>
      <c r="E119" t="s">
        <v>2671</v>
      </c>
      <c r="F119" t="s">
        <v>2648</v>
      </c>
      <c r="G119" t="s">
        <v>28</v>
      </c>
      <c r="H119" t="s">
        <v>28</v>
      </c>
      <c r="I119" t="s">
        <v>810</v>
      </c>
    </row>
    <row r="120" spans="1:9" ht="11.25" customHeight="1">
      <c r="A120" t="s">
        <v>2248</v>
      </c>
      <c r="B120" t="s">
        <v>16</v>
      </c>
      <c r="C120" t="s">
        <v>2672</v>
      </c>
      <c r="D120" t="s">
        <v>2673</v>
      </c>
      <c r="E120" t="s">
        <v>2674</v>
      </c>
      <c r="F120" t="s">
        <v>2350</v>
      </c>
      <c r="G120" t="s">
        <v>2675</v>
      </c>
      <c r="H120" t="s">
        <v>28</v>
      </c>
      <c r="I120" t="s">
        <v>810</v>
      </c>
    </row>
    <row r="121" spans="1:9" ht="11.25" customHeight="1">
      <c r="A121" t="s">
        <v>2248</v>
      </c>
      <c r="B121" t="s">
        <v>16</v>
      </c>
      <c r="C121" t="s">
        <v>2676</v>
      </c>
      <c r="D121" t="s">
        <v>2677</v>
      </c>
      <c r="E121" t="s">
        <v>2678</v>
      </c>
      <c r="F121" t="s">
        <v>2289</v>
      </c>
      <c r="G121" t="s">
        <v>28</v>
      </c>
      <c r="H121" t="s">
        <v>28</v>
      </c>
      <c r="I121" t="s">
        <v>810</v>
      </c>
    </row>
    <row r="122" spans="1:9" ht="11.25" customHeight="1">
      <c r="A122" t="s">
        <v>2248</v>
      </c>
      <c r="B122" t="s">
        <v>16</v>
      </c>
      <c r="C122" t="s">
        <v>2679</v>
      </c>
      <c r="D122" t="s">
        <v>2680</v>
      </c>
      <c r="E122" t="s">
        <v>2681</v>
      </c>
      <c r="F122" t="s">
        <v>2323</v>
      </c>
      <c r="G122" t="s">
        <v>28</v>
      </c>
      <c r="H122" t="s">
        <v>28</v>
      </c>
      <c r="I122" t="s">
        <v>810</v>
      </c>
    </row>
    <row r="123" spans="1:9" ht="11.25" customHeight="1">
      <c r="A123" t="s">
        <v>2248</v>
      </c>
      <c r="B123" t="s">
        <v>16</v>
      </c>
      <c r="C123" t="s">
        <v>2682</v>
      </c>
      <c r="D123" t="s">
        <v>2683</v>
      </c>
      <c r="E123" t="s">
        <v>2684</v>
      </c>
      <c r="F123" t="s">
        <v>2685</v>
      </c>
      <c r="G123" t="s">
        <v>2686</v>
      </c>
      <c r="H123" t="s">
        <v>28</v>
      </c>
      <c r="I123" t="s">
        <v>810</v>
      </c>
    </row>
    <row r="124" spans="1:9" ht="11.25" customHeight="1">
      <c r="A124" t="s">
        <v>2248</v>
      </c>
      <c r="B124" t="s">
        <v>16</v>
      </c>
      <c r="C124" t="s">
        <v>2687</v>
      </c>
      <c r="D124" t="s">
        <v>2688</v>
      </c>
      <c r="E124" t="s">
        <v>2689</v>
      </c>
      <c r="F124" t="s">
        <v>2648</v>
      </c>
      <c r="G124" t="s">
        <v>28</v>
      </c>
      <c r="H124" t="s">
        <v>28</v>
      </c>
      <c r="I124" t="s">
        <v>810</v>
      </c>
    </row>
    <row r="125" spans="1:9" ht="11.25" customHeight="1">
      <c r="A125" t="s">
        <v>2248</v>
      </c>
      <c r="B125" t="s">
        <v>16</v>
      </c>
      <c r="C125" t="s">
        <v>2690</v>
      </c>
      <c r="D125" t="s">
        <v>2691</v>
      </c>
      <c r="E125" t="s">
        <v>2692</v>
      </c>
      <c r="F125" t="s">
        <v>2350</v>
      </c>
      <c r="G125" t="s">
        <v>2693</v>
      </c>
      <c r="H125" t="s">
        <v>28</v>
      </c>
      <c r="I125" t="s">
        <v>810</v>
      </c>
    </row>
    <row r="126" spans="1:9" ht="11.25" customHeight="1">
      <c r="A126" t="s">
        <v>2248</v>
      </c>
      <c r="B126" t="s">
        <v>16</v>
      </c>
      <c r="C126" t="s">
        <v>2694</v>
      </c>
      <c r="D126" t="s">
        <v>2695</v>
      </c>
      <c r="E126" t="s">
        <v>2251</v>
      </c>
      <c r="F126" t="s">
        <v>2480</v>
      </c>
      <c r="G126" t="s">
        <v>2696</v>
      </c>
      <c r="H126" t="s">
        <v>28</v>
      </c>
      <c r="I126" t="s">
        <v>810</v>
      </c>
    </row>
    <row r="127" spans="1:9" ht="11.25" customHeight="1">
      <c r="A127" t="s">
        <v>2248</v>
      </c>
      <c r="B127" t="s">
        <v>16</v>
      </c>
      <c r="C127" t="s">
        <v>2697</v>
      </c>
      <c r="D127" t="s">
        <v>2698</v>
      </c>
      <c r="E127" t="s">
        <v>2251</v>
      </c>
      <c r="F127" t="s">
        <v>2699</v>
      </c>
      <c r="G127" t="s">
        <v>2696</v>
      </c>
      <c r="H127" t="s">
        <v>28</v>
      </c>
      <c r="I127" t="s">
        <v>810</v>
      </c>
    </row>
    <row r="128" spans="1:9" ht="11.25" customHeight="1">
      <c r="A128" t="s">
        <v>2248</v>
      </c>
      <c r="B128" t="s">
        <v>16</v>
      </c>
      <c r="C128" t="s">
        <v>2700</v>
      </c>
      <c r="D128" t="s">
        <v>2701</v>
      </c>
      <c r="E128" t="s">
        <v>2251</v>
      </c>
      <c r="F128" t="s">
        <v>2702</v>
      </c>
      <c r="G128" t="s">
        <v>28</v>
      </c>
      <c r="H128" t="s">
        <v>28</v>
      </c>
      <c r="I128" t="s">
        <v>810</v>
      </c>
    </row>
    <row r="129" spans="1:9" ht="11.25" customHeight="1">
      <c r="A129" t="s">
        <v>2248</v>
      </c>
      <c r="B129" t="s">
        <v>16</v>
      </c>
      <c r="C129" t="s">
        <v>2703</v>
      </c>
      <c r="D129" t="s">
        <v>2704</v>
      </c>
      <c r="E129" t="s">
        <v>2588</v>
      </c>
      <c r="F129" t="s">
        <v>2705</v>
      </c>
      <c r="G129" t="s">
        <v>28</v>
      </c>
      <c r="H129" t="s">
        <v>28</v>
      </c>
      <c r="I129" t="s">
        <v>810</v>
      </c>
    </row>
    <row r="130" spans="1:9" ht="11.25" customHeight="1">
      <c r="A130" t="s">
        <v>2248</v>
      </c>
      <c r="B130" t="s">
        <v>16</v>
      </c>
      <c r="C130" t="s">
        <v>2706</v>
      </c>
      <c r="D130" t="s">
        <v>2707</v>
      </c>
      <c r="E130" t="s">
        <v>2251</v>
      </c>
      <c r="F130" t="s">
        <v>2708</v>
      </c>
      <c r="G130" t="s">
        <v>2696</v>
      </c>
      <c r="H130" t="s">
        <v>28</v>
      </c>
      <c r="I130" t="s">
        <v>810</v>
      </c>
    </row>
    <row r="131" spans="1:9" ht="11.25" customHeight="1">
      <c r="A131" t="s">
        <v>2248</v>
      </c>
      <c r="B131" t="s">
        <v>16</v>
      </c>
      <c r="C131" t="s">
        <v>2709</v>
      </c>
      <c r="D131" t="s">
        <v>2710</v>
      </c>
      <c r="E131" t="s">
        <v>2251</v>
      </c>
      <c r="F131" t="s">
        <v>2711</v>
      </c>
      <c r="G131" t="s">
        <v>2696</v>
      </c>
      <c r="H131" t="s">
        <v>28</v>
      </c>
      <c r="I131" t="s">
        <v>810</v>
      </c>
    </row>
    <row r="132" spans="1:9" ht="11.25" customHeight="1">
      <c r="A132" t="s">
        <v>2248</v>
      </c>
      <c r="B132" t="s">
        <v>16</v>
      </c>
      <c r="C132" t="s">
        <v>2712</v>
      </c>
      <c r="D132" t="s">
        <v>2713</v>
      </c>
      <c r="E132" t="s">
        <v>2714</v>
      </c>
      <c r="F132" t="s">
        <v>2715</v>
      </c>
      <c r="G132" t="s">
        <v>2716</v>
      </c>
      <c r="H132" t="s">
        <v>28</v>
      </c>
      <c r="I132" t="s">
        <v>810</v>
      </c>
    </row>
    <row r="133" spans="1:9" ht="11.25" customHeight="1">
      <c r="A133" t="s">
        <v>2248</v>
      </c>
      <c r="B133" t="s">
        <v>16</v>
      </c>
      <c r="C133" t="s">
        <v>2717</v>
      </c>
      <c r="D133" t="s">
        <v>2718</v>
      </c>
      <c r="E133" t="s">
        <v>2719</v>
      </c>
      <c r="F133" t="s">
        <v>2299</v>
      </c>
      <c r="G133" t="s">
        <v>2720</v>
      </c>
      <c r="H133" t="s">
        <v>28</v>
      </c>
      <c r="I133" t="s">
        <v>810</v>
      </c>
    </row>
    <row r="134" spans="1:9" ht="11.25" customHeight="1">
      <c r="A134" t="s">
        <v>2248</v>
      </c>
      <c r="B134" t="s">
        <v>16</v>
      </c>
      <c r="C134" t="s">
        <v>2721</v>
      </c>
      <c r="D134" t="s">
        <v>2722</v>
      </c>
      <c r="E134" t="s">
        <v>2723</v>
      </c>
      <c r="F134" t="s">
        <v>2289</v>
      </c>
      <c r="G134" t="s">
        <v>28</v>
      </c>
      <c r="H134" t="s">
        <v>28</v>
      </c>
      <c r="I134" t="s">
        <v>810</v>
      </c>
    </row>
    <row r="135" spans="1:9" ht="11.25" customHeight="1">
      <c r="A135" t="s">
        <v>2248</v>
      </c>
      <c r="B135" t="s">
        <v>16</v>
      </c>
      <c r="C135" t="s">
        <v>2724</v>
      </c>
      <c r="D135" t="s">
        <v>2725</v>
      </c>
      <c r="E135" t="s">
        <v>2726</v>
      </c>
      <c r="F135" t="s">
        <v>2256</v>
      </c>
      <c r="G135" t="s">
        <v>28</v>
      </c>
      <c r="H135" t="s">
        <v>28</v>
      </c>
      <c r="I135" t="s">
        <v>810</v>
      </c>
    </row>
    <row r="136" spans="1:9" ht="11.25" customHeight="1">
      <c r="A136" t="s">
        <v>2248</v>
      </c>
      <c r="B136" t="s">
        <v>16</v>
      </c>
      <c r="C136" t="s">
        <v>2727</v>
      </c>
      <c r="D136" t="s">
        <v>2728</v>
      </c>
      <c r="E136" t="s">
        <v>2729</v>
      </c>
      <c r="F136" t="s">
        <v>2350</v>
      </c>
      <c r="G136" t="s">
        <v>28</v>
      </c>
      <c r="H136" t="s">
        <v>28</v>
      </c>
      <c r="I136" t="s">
        <v>810</v>
      </c>
    </row>
    <row r="137" spans="1:9" ht="11.25" customHeight="1">
      <c r="A137" t="s">
        <v>2248</v>
      </c>
      <c r="B137" t="s">
        <v>16</v>
      </c>
      <c r="C137" t="s">
        <v>2730</v>
      </c>
      <c r="D137" t="s">
        <v>2731</v>
      </c>
      <c r="E137" t="s">
        <v>2732</v>
      </c>
      <c r="F137" t="s">
        <v>2307</v>
      </c>
      <c r="G137" t="s">
        <v>28</v>
      </c>
      <c r="H137" t="s">
        <v>28</v>
      </c>
      <c r="I137" t="s">
        <v>810</v>
      </c>
    </row>
    <row r="138" spans="1:9" ht="11.25" customHeight="1">
      <c r="A138" t="s">
        <v>2248</v>
      </c>
      <c r="B138" t="s">
        <v>16</v>
      </c>
      <c r="C138" t="s">
        <v>2733</v>
      </c>
      <c r="D138" t="s">
        <v>2734</v>
      </c>
      <c r="E138" t="s">
        <v>2279</v>
      </c>
      <c r="F138" t="s">
        <v>2735</v>
      </c>
      <c r="G138" t="s">
        <v>28</v>
      </c>
      <c r="H138" t="s">
        <v>28</v>
      </c>
      <c r="I138" t="s">
        <v>810</v>
      </c>
    </row>
    <row r="139" spans="1:9" ht="11.25" customHeight="1">
      <c r="A139" t="s">
        <v>2248</v>
      </c>
      <c r="B139" t="s">
        <v>16</v>
      </c>
      <c r="C139" t="s">
        <v>2736</v>
      </c>
      <c r="D139" t="s">
        <v>2737</v>
      </c>
      <c r="E139" t="s">
        <v>2738</v>
      </c>
      <c r="F139" t="s">
        <v>2307</v>
      </c>
      <c r="G139" t="s">
        <v>28</v>
      </c>
      <c r="H139" t="s">
        <v>28</v>
      </c>
      <c r="I139" t="s">
        <v>810</v>
      </c>
    </row>
    <row r="140" spans="1:9" ht="11.25" customHeight="1">
      <c r="A140" t="s">
        <v>2248</v>
      </c>
      <c r="B140" t="s">
        <v>16</v>
      </c>
      <c r="C140" t="s">
        <v>2739</v>
      </c>
      <c r="D140" t="s">
        <v>2740</v>
      </c>
      <c r="E140" t="s">
        <v>2741</v>
      </c>
      <c r="F140" t="s">
        <v>2307</v>
      </c>
      <c r="G140" t="s">
        <v>28</v>
      </c>
      <c r="H140" t="s">
        <v>28</v>
      </c>
      <c r="I140" t="s">
        <v>810</v>
      </c>
    </row>
    <row r="141" spans="1:9" ht="11.25" customHeight="1">
      <c r="A141" t="s">
        <v>2248</v>
      </c>
      <c r="B141" t="s">
        <v>16</v>
      </c>
      <c r="C141" t="s">
        <v>2742</v>
      </c>
      <c r="D141" t="s">
        <v>2743</v>
      </c>
      <c r="E141" t="s">
        <v>2744</v>
      </c>
      <c r="F141" t="s">
        <v>2431</v>
      </c>
      <c r="G141" t="s">
        <v>28</v>
      </c>
      <c r="H141" t="s">
        <v>28</v>
      </c>
      <c r="I141" t="s">
        <v>810</v>
      </c>
    </row>
    <row r="142" spans="1:9" ht="11.25" customHeight="1">
      <c r="A142" t="s">
        <v>2248</v>
      </c>
      <c r="B142" t="s">
        <v>16</v>
      </c>
      <c r="C142" t="s">
        <v>2745</v>
      </c>
      <c r="D142" t="s">
        <v>2746</v>
      </c>
      <c r="E142" t="s">
        <v>2747</v>
      </c>
      <c r="F142" t="s">
        <v>2599</v>
      </c>
      <c r="G142" t="s">
        <v>28</v>
      </c>
      <c r="H142" t="s">
        <v>28</v>
      </c>
      <c r="I142" t="s">
        <v>810</v>
      </c>
    </row>
    <row r="143" spans="1:9" ht="11.25" customHeight="1">
      <c r="A143" t="s">
        <v>2248</v>
      </c>
      <c r="B143" t="s">
        <v>16</v>
      </c>
      <c r="C143" t="s">
        <v>2748</v>
      </c>
      <c r="D143" t="s">
        <v>2749</v>
      </c>
      <c r="E143" t="s">
        <v>2750</v>
      </c>
      <c r="F143" t="s">
        <v>2350</v>
      </c>
      <c r="G143" t="s">
        <v>28</v>
      </c>
      <c r="H143" t="s">
        <v>28</v>
      </c>
      <c r="I143" t="s">
        <v>810</v>
      </c>
    </row>
    <row r="144" spans="1:9" ht="11.25" customHeight="1">
      <c r="A144" t="s">
        <v>2248</v>
      </c>
      <c r="B144" t="s">
        <v>16</v>
      </c>
      <c r="C144" t="s">
        <v>2751</v>
      </c>
      <c r="D144" t="s">
        <v>2752</v>
      </c>
      <c r="E144" t="s">
        <v>2753</v>
      </c>
      <c r="F144" t="s">
        <v>2350</v>
      </c>
      <c r="G144" t="s">
        <v>2754</v>
      </c>
      <c r="H144" t="s">
        <v>28</v>
      </c>
      <c r="I144" t="s">
        <v>810</v>
      </c>
    </row>
    <row r="145" spans="1:9" ht="11.25" customHeight="1">
      <c r="A145" t="s">
        <v>2248</v>
      </c>
      <c r="B145" t="s">
        <v>16</v>
      </c>
      <c r="C145" t="s">
        <v>2755</v>
      </c>
      <c r="D145" t="s">
        <v>2756</v>
      </c>
      <c r="E145" t="s">
        <v>2757</v>
      </c>
      <c r="F145" t="s">
        <v>2350</v>
      </c>
      <c r="G145" t="s">
        <v>28</v>
      </c>
      <c r="H145" t="s">
        <v>28</v>
      </c>
      <c r="I145" t="s">
        <v>810</v>
      </c>
    </row>
    <row r="146" spans="1:9" ht="11.25" customHeight="1">
      <c r="A146" t="s">
        <v>2248</v>
      </c>
      <c r="B146" t="s">
        <v>16</v>
      </c>
      <c r="C146" t="s">
        <v>2758</v>
      </c>
      <c r="D146" t="s">
        <v>2759</v>
      </c>
      <c r="E146" t="s">
        <v>2617</v>
      </c>
      <c r="F146" t="s">
        <v>2760</v>
      </c>
      <c r="G146" t="s">
        <v>28</v>
      </c>
      <c r="H146" t="s">
        <v>28</v>
      </c>
      <c r="I146" t="s">
        <v>810</v>
      </c>
    </row>
    <row r="147" spans="1:9" ht="11.25" customHeight="1">
      <c r="A147" t="s">
        <v>2248</v>
      </c>
      <c r="B147" t="s">
        <v>16</v>
      </c>
      <c r="C147" t="s">
        <v>2761</v>
      </c>
      <c r="D147" t="s">
        <v>2762</v>
      </c>
      <c r="E147" t="s">
        <v>2763</v>
      </c>
      <c r="F147" t="s">
        <v>2409</v>
      </c>
      <c r="G147" t="s">
        <v>2764</v>
      </c>
      <c r="H147" t="s">
        <v>28</v>
      </c>
      <c r="I147" t="s">
        <v>810</v>
      </c>
    </row>
    <row r="148" spans="1:9" ht="11.25" customHeight="1">
      <c r="A148" t="s">
        <v>2248</v>
      </c>
      <c r="B148" t="s">
        <v>16</v>
      </c>
      <c r="C148" t="s">
        <v>2765</v>
      </c>
      <c r="D148" t="s">
        <v>2766</v>
      </c>
      <c r="E148" t="s">
        <v>2767</v>
      </c>
      <c r="F148" t="s">
        <v>2319</v>
      </c>
      <c r="G148" t="s">
        <v>28</v>
      </c>
      <c r="H148" t="s">
        <v>28</v>
      </c>
      <c r="I148" t="s">
        <v>810</v>
      </c>
    </row>
    <row r="149" spans="1:9" ht="11.25" customHeight="1">
      <c r="A149" t="s">
        <v>2248</v>
      </c>
      <c r="B149" t="s">
        <v>16</v>
      </c>
      <c r="C149" t="s">
        <v>2768</v>
      </c>
      <c r="D149" t="s">
        <v>2769</v>
      </c>
      <c r="E149" t="s">
        <v>2770</v>
      </c>
      <c r="F149" t="s">
        <v>2307</v>
      </c>
      <c r="G149" t="s">
        <v>2771</v>
      </c>
      <c r="H149" t="s">
        <v>28</v>
      </c>
      <c r="I149" t="s">
        <v>810</v>
      </c>
    </row>
    <row r="150" spans="1:9" ht="11.25" customHeight="1">
      <c r="A150" t="s">
        <v>2248</v>
      </c>
      <c r="B150" t="s">
        <v>16</v>
      </c>
      <c r="C150" t="s">
        <v>2772</v>
      </c>
      <c r="D150" t="s">
        <v>2773</v>
      </c>
      <c r="E150" t="s">
        <v>2774</v>
      </c>
      <c r="F150" t="s">
        <v>53</v>
      </c>
      <c r="G150" t="s">
        <v>28</v>
      </c>
      <c r="H150" t="s">
        <v>28</v>
      </c>
      <c r="I150" t="s">
        <v>810</v>
      </c>
    </row>
    <row r="151" spans="1:9" ht="11.25" customHeight="1">
      <c r="A151" t="s">
        <v>2248</v>
      </c>
      <c r="B151" t="s">
        <v>16</v>
      </c>
      <c r="C151" t="s">
        <v>2775</v>
      </c>
      <c r="D151" t="s">
        <v>2776</v>
      </c>
      <c r="E151" t="s">
        <v>2777</v>
      </c>
      <c r="F151" t="s">
        <v>2599</v>
      </c>
      <c r="G151" t="s">
        <v>28</v>
      </c>
      <c r="H151" t="s">
        <v>28</v>
      </c>
      <c r="I151" t="s">
        <v>810</v>
      </c>
    </row>
    <row r="152" spans="1:9" ht="11.25" customHeight="1">
      <c r="A152" t="s">
        <v>2248</v>
      </c>
      <c r="B152" t="s">
        <v>16</v>
      </c>
      <c r="C152" t="s">
        <v>2778</v>
      </c>
      <c r="D152" t="s">
        <v>2779</v>
      </c>
      <c r="E152" t="s">
        <v>2780</v>
      </c>
      <c r="F152" t="s">
        <v>2409</v>
      </c>
      <c r="G152" t="s">
        <v>28</v>
      </c>
      <c r="H152" t="s">
        <v>28</v>
      </c>
      <c r="I152" t="s">
        <v>810</v>
      </c>
    </row>
    <row r="153" spans="1:9" ht="11.25" customHeight="1">
      <c r="A153" t="s">
        <v>2248</v>
      </c>
      <c r="B153" t="s">
        <v>16</v>
      </c>
      <c r="C153" t="s">
        <v>2781</v>
      </c>
      <c r="D153" t="s">
        <v>2782</v>
      </c>
      <c r="E153" t="s">
        <v>2783</v>
      </c>
      <c r="F153" t="s">
        <v>2284</v>
      </c>
      <c r="G153" t="s">
        <v>28</v>
      </c>
      <c r="H153" t="s">
        <v>28</v>
      </c>
      <c r="I153" t="s">
        <v>810</v>
      </c>
    </row>
    <row r="154" spans="1:9" ht="11.25" customHeight="1">
      <c r="A154" t="s">
        <v>2248</v>
      </c>
      <c r="B154" t="s">
        <v>16</v>
      </c>
      <c r="C154" t="s">
        <v>2784</v>
      </c>
      <c r="D154" t="s">
        <v>2785</v>
      </c>
      <c r="E154" t="s">
        <v>2786</v>
      </c>
      <c r="F154" t="s">
        <v>2289</v>
      </c>
      <c r="G154" t="s">
        <v>2787</v>
      </c>
      <c r="H154" t="s">
        <v>28</v>
      </c>
      <c r="I154" t="s">
        <v>810</v>
      </c>
    </row>
    <row r="155" spans="1:9" ht="11.25" customHeight="1">
      <c r="A155" t="s">
        <v>2248</v>
      </c>
      <c r="B155" t="s">
        <v>16</v>
      </c>
      <c r="C155" t="s">
        <v>2788</v>
      </c>
      <c r="D155" t="s">
        <v>2789</v>
      </c>
      <c r="E155" t="s">
        <v>2790</v>
      </c>
      <c r="F155" t="s">
        <v>2791</v>
      </c>
      <c r="G155" t="s">
        <v>28</v>
      </c>
      <c r="H155" t="s">
        <v>28</v>
      </c>
      <c r="I155" t="s">
        <v>810</v>
      </c>
    </row>
    <row r="156" spans="1:9" ht="11.25" customHeight="1">
      <c r="A156" t="s">
        <v>2248</v>
      </c>
      <c r="B156" t="s">
        <v>16</v>
      </c>
      <c r="C156" t="s">
        <v>2792</v>
      </c>
      <c r="D156" t="s">
        <v>2793</v>
      </c>
      <c r="E156" t="s">
        <v>2794</v>
      </c>
      <c r="F156" t="s">
        <v>2289</v>
      </c>
      <c r="G156" t="s">
        <v>28</v>
      </c>
      <c r="H156" t="s">
        <v>28</v>
      </c>
      <c r="I156" t="s">
        <v>810</v>
      </c>
    </row>
    <row r="157" spans="1:9" ht="11.25" customHeight="1">
      <c r="A157" t="s">
        <v>2248</v>
      </c>
      <c r="B157" t="s">
        <v>16</v>
      </c>
      <c r="C157" t="s">
        <v>2795</v>
      </c>
      <c r="D157" t="s">
        <v>2796</v>
      </c>
      <c r="E157" t="s">
        <v>2797</v>
      </c>
      <c r="F157" t="s">
        <v>2289</v>
      </c>
      <c r="G157" t="s">
        <v>28</v>
      </c>
      <c r="H157" t="s">
        <v>28</v>
      </c>
      <c r="I157" t="s">
        <v>810</v>
      </c>
    </row>
    <row r="158" spans="1:9" ht="11.25" customHeight="1">
      <c r="A158" t="s">
        <v>2248</v>
      </c>
      <c r="B158" t="s">
        <v>16</v>
      </c>
      <c r="C158" t="s">
        <v>2798</v>
      </c>
      <c r="D158" t="s">
        <v>2799</v>
      </c>
      <c r="E158" t="s">
        <v>2800</v>
      </c>
      <c r="F158" t="s">
        <v>2339</v>
      </c>
      <c r="G158" t="s">
        <v>2801</v>
      </c>
      <c r="H158" t="s">
        <v>28</v>
      </c>
      <c r="I158" t="s">
        <v>810</v>
      </c>
    </row>
    <row r="159" spans="1:9" ht="11.25" customHeight="1">
      <c r="A159" t="s">
        <v>2248</v>
      </c>
      <c r="B159" t="s">
        <v>16</v>
      </c>
      <c r="C159" t="s">
        <v>2802</v>
      </c>
      <c r="D159" t="s">
        <v>2803</v>
      </c>
      <c r="E159" t="s">
        <v>2804</v>
      </c>
      <c r="F159" t="s">
        <v>2805</v>
      </c>
      <c r="G159" t="s">
        <v>2806</v>
      </c>
      <c r="H159" t="s">
        <v>28</v>
      </c>
      <c r="I159" t="s">
        <v>810</v>
      </c>
    </row>
    <row r="160" spans="1:9" ht="11.25" customHeight="1">
      <c r="A160" t="s">
        <v>2248</v>
      </c>
      <c r="B160" t="s">
        <v>16</v>
      </c>
      <c r="C160" t="s">
        <v>2807</v>
      </c>
      <c r="D160" t="s">
        <v>2808</v>
      </c>
      <c r="E160" t="s">
        <v>2809</v>
      </c>
      <c r="F160" t="s">
        <v>2289</v>
      </c>
      <c r="G160" t="s">
        <v>28</v>
      </c>
      <c r="H160" t="s">
        <v>28</v>
      </c>
      <c r="I160" t="s">
        <v>810</v>
      </c>
    </row>
    <row r="161" spans="1:9" ht="11.25" customHeight="1">
      <c r="A161" t="s">
        <v>2248</v>
      </c>
      <c r="B161" t="s">
        <v>16</v>
      </c>
      <c r="C161" t="s">
        <v>2810</v>
      </c>
      <c r="D161" t="s">
        <v>2811</v>
      </c>
      <c r="E161" t="s">
        <v>2812</v>
      </c>
      <c r="F161" t="s">
        <v>2648</v>
      </c>
      <c r="G161" t="s">
        <v>2813</v>
      </c>
      <c r="H161" t="s">
        <v>28</v>
      </c>
      <c r="I161" t="s">
        <v>810</v>
      </c>
    </row>
    <row r="162" spans="1:9" ht="11.25" customHeight="1">
      <c r="A162" t="s">
        <v>2248</v>
      </c>
      <c r="B162" t="s">
        <v>16</v>
      </c>
      <c r="C162" t="s">
        <v>2814</v>
      </c>
      <c r="D162" t="s">
        <v>2815</v>
      </c>
      <c r="E162" t="s">
        <v>2816</v>
      </c>
      <c r="F162" t="s">
        <v>2457</v>
      </c>
      <c r="G162" t="s">
        <v>28</v>
      </c>
      <c r="H162" t="s">
        <v>28</v>
      </c>
      <c r="I162" t="s">
        <v>810</v>
      </c>
    </row>
    <row r="163" spans="1:9" ht="11.25" customHeight="1">
      <c r="A163" t="s">
        <v>2248</v>
      </c>
      <c r="B163" t="s">
        <v>16</v>
      </c>
      <c r="C163" t="s">
        <v>2817</v>
      </c>
      <c r="D163" t="s">
        <v>2818</v>
      </c>
      <c r="E163" t="s">
        <v>2819</v>
      </c>
      <c r="F163" t="s">
        <v>2820</v>
      </c>
      <c r="G163" t="s">
        <v>28</v>
      </c>
      <c r="H163" t="s">
        <v>28</v>
      </c>
      <c r="I163" t="s">
        <v>810</v>
      </c>
    </row>
    <row r="164" spans="1:9" ht="11.25" customHeight="1">
      <c r="A164" t="s">
        <v>2248</v>
      </c>
      <c r="B164" t="s">
        <v>16</v>
      </c>
      <c r="C164" t="s">
        <v>28</v>
      </c>
      <c r="D164" t="s">
        <v>2821</v>
      </c>
      <c r="E164" t="s">
        <v>2822</v>
      </c>
      <c r="F164" t="s">
        <v>53</v>
      </c>
      <c r="G164" t="s">
        <v>28</v>
      </c>
      <c r="H164" t="s">
        <v>28</v>
      </c>
      <c r="I164" t="s">
        <v>810</v>
      </c>
    </row>
    <row r="165" spans="1:9" ht="11.25" customHeight="1">
      <c r="A165" t="s">
        <v>2248</v>
      </c>
      <c r="B165" t="s">
        <v>16</v>
      </c>
      <c r="C165" t="s">
        <v>28</v>
      </c>
      <c r="D165" t="s">
        <v>2823</v>
      </c>
      <c r="E165" t="s">
        <v>2824</v>
      </c>
      <c r="F165" t="s">
        <v>2319</v>
      </c>
      <c r="G165" t="s">
        <v>28</v>
      </c>
      <c r="H165" t="s">
        <v>28</v>
      </c>
      <c r="I165" t="s">
        <v>810</v>
      </c>
    </row>
    <row r="166" spans="1:9" ht="11.25" customHeight="1">
      <c r="A166" t="s">
        <v>2248</v>
      </c>
      <c r="B166" t="s">
        <v>16</v>
      </c>
      <c r="C166" t="s">
        <v>2825</v>
      </c>
      <c r="D166" t="s">
        <v>2826</v>
      </c>
      <c r="E166" t="s">
        <v>2827</v>
      </c>
      <c r="F166" t="s">
        <v>2289</v>
      </c>
      <c r="G166" t="s">
        <v>28</v>
      </c>
      <c r="H166" t="s">
        <v>28</v>
      </c>
      <c r="I166" t="s">
        <v>810</v>
      </c>
    </row>
    <row r="167" spans="1:9" ht="11.25" customHeight="1">
      <c r="A167" t="s">
        <v>2248</v>
      </c>
      <c r="B167" t="s">
        <v>16</v>
      </c>
      <c r="C167" t="s">
        <v>2828</v>
      </c>
      <c r="D167" t="s">
        <v>2829</v>
      </c>
      <c r="E167" t="s">
        <v>2830</v>
      </c>
      <c r="F167" t="s">
        <v>2256</v>
      </c>
      <c r="G167" t="s">
        <v>28</v>
      </c>
      <c r="H167" t="s">
        <v>28</v>
      </c>
      <c r="I167" t="s">
        <v>810</v>
      </c>
    </row>
    <row r="168" spans="1:9" ht="11.25" customHeight="1">
      <c r="A168" t="s">
        <v>2248</v>
      </c>
      <c r="B168" t="s">
        <v>16</v>
      </c>
      <c r="C168" t="s">
        <v>2831</v>
      </c>
      <c r="D168" t="s">
        <v>2832</v>
      </c>
      <c r="E168" t="s">
        <v>2370</v>
      </c>
      <c r="F168" t="s">
        <v>2833</v>
      </c>
      <c r="G168" t="s">
        <v>28</v>
      </c>
      <c r="H168" t="s">
        <v>28</v>
      </c>
      <c r="I168" t="s">
        <v>810</v>
      </c>
    </row>
    <row r="169" spans="1:9" ht="11.25" customHeight="1">
      <c r="A169" t="s">
        <v>2248</v>
      </c>
      <c r="B169" t="s">
        <v>16</v>
      </c>
      <c r="C169" t="s">
        <v>2834</v>
      </c>
      <c r="D169" t="s">
        <v>2835</v>
      </c>
      <c r="E169" t="s">
        <v>2836</v>
      </c>
      <c r="F169" t="s">
        <v>2289</v>
      </c>
      <c r="G169" t="s">
        <v>28</v>
      </c>
      <c r="H169" t="s">
        <v>28</v>
      </c>
      <c r="I169" t="s">
        <v>810</v>
      </c>
    </row>
    <row r="170" spans="1:9" ht="11.25" customHeight="1">
      <c r="A170" t="s">
        <v>2248</v>
      </c>
      <c r="B170" t="s">
        <v>16</v>
      </c>
      <c r="C170" t="s">
        <v>2837</v>
      </c>
      <c r="D170" t="s">
        <v>2838</v>
      </c>
      <c r="E170" t="s">
        <v>2588</v>
      </c>
      <c r="F170" t="s">
        <v>2839</v>
      </c>
      <c r="G170" t="s">
        <v>28</v>
      </c>
      <c r="H170" t="s">
        <v>28</v>
      </c>
      <c r="I170" t="s">
        <v>810</v>
      </c>
    </row>
    <row r="171" spans="1:9" ht="11.25" customHeight="1">
      <c r="A171" t="s">
        <v>2248</v>
      </c>
      <c r="B171" t="s">
        <v>16</v>
      </c>
      <c r="C171" t="s">
        <v>2840</v>
      </c>
      <c r="D171" t="s">
        <v>2841</v>
      </c>
      <c r="E171" t="s">
        <v>2534</v>
      </c>
      <c r="F171" t="s">
        <v>2612</v>
      </c>
      <c r="G171" t="s">
        <v>28</v>
      </c>
      <c r="H171" t="s">
        <v>28</v>
      </c>
      <c r="I171" t="s">
        <v>810</v>
      </c>
    </row>
    <row r="172" spans="1:9" ht="11.25" customHeight="1">
      <c r="A172" t="s">
        <v>2248</v>
      </c>
      <c r="B172" t="s">
        <v>16</v>
      </c>
      <c r="C172" t="s">
        <v>2842</v>
      </c>
      <c r="D172" t="s">
        <v>2843</v>
      </c>
      <c r="E172" t="s">
        <v>2534</v>
      </c>
      <c r="F172" t="s">
        <v>2844</v>
      </c>
      <c r="G172" t="s">
        <v>28</v>
      </c>
      <c r="H172" t="s">
        <v>28</v>
      </c>
      <c r="I172" t="s">
        <v>810</v>
      </c>
    </row>
    <row r="173" spans="1:9" ht="11.25" customHeight="1">
      <c r="A173" t="s">
        <v>2248</v>
      </c>
      <c r="B173" t="s">
        <v>16</v>
      </c>
      <c r="C173" t="s">
        <v>2845</v>
      </c>
      <c r="D173" t="s">
        <v>2846</v>
      </c>
      <c r="E173" t="s">
        <v>2809</v>
      </c>
      <c r="F173" t="s">
        <v>2715</v>
      </c>
      <c r="G173" t="s">
        <v>2847</v>
      </c>
      <c r="H173" t="s">
        <v>28</v>
      </c>
      <c r="I173" t="s">
        <v>810</v>
      </c>
    </row>
    <row r="174" spans="1:9" ht="11.25" customHeight="1">
      <c r="A174" t="s">
        <v>2248</v>
      </c>
      <c r="B174" t="s">
        <v>16</v>
      </c>
      <c r="C174" t="s">
        <v>2848</v>
      </c>
      <c r="D174" t="s">
        <v>2849</v>
      </c>
      <c r="E174" t="s">
        <v>2303</v>
      </c>
      <c r="F174" t="s">
        <v>2850</v>
      </c>
      <c r="G174" t="s">
        <v>28</v>
      </c>
      <c r="H174" t="s">
        <v>28</v>
      </c>
      <c r="I174" t="s">
        <v>810</v>
      </c>
    </row>
    <row r="175" spans="1:9" ht="11.25" customHeight="1">
      <c r="A175" t="s">
        <v>2248</v>
      </c>
      <c r="B175" t="s">
        <v>16</v>
      </c>
      <c r="C175" t="s">
        <v>2851</v>
      </c>
      <c r="D175" t="s">
        <v>2852</v>
      </c>
      <c r="E175" t="s">
        <v>2303</v>
      </c>
      <c r="F175" t="s">
        <v>2853</v>
      </c>
      <c r="G175" t="s">
        <v>28</v>
      </c>
      <c r="H175" t="s">
        <v>28</v>
      </c>
      <c r="I175" t="s">
        <v>810</v>
      </c>
    </row>
    <row r="176" spans="1:9" ht="11.25" customHeight="1">
      <c r="A176" t="s">
        <v>2248</v>
      </c>
      <c r="B176" t="s">
        <v>16</v>
      </c>
      <c r="C176" t="s">
        <v>2854</v>
      </c>
      <c r="D176" t="s">
        <v>2855</v>
      </c>
      <c r="E176" t="s">
        <v>2303</v>
      </c>
      <c r="F176" t="s">
        <v>2856</v>
      </c>
      <c r="G176" t="s">
        <v>28</v>
      </c>
      <c r="H176" t="s">
        <v>28</v>
      </c>
      <c r="I176" t="s">
        <v>810</v>
      </c>
    </row>
    <row r="177" spans="1:9" ht="11.25" customHeight="1">
      <c r="A177" t="s">
        <v>2248</v>
      </c>
      <c r="B177" t="s">
        <v>16</v>
      </c>
      <c r="C177" t="s">
        <v>2857</v>
      </c>
      <c r="D177" t="s">
        <v>2858</v>
      </c>
      <c r="E177" t="s">
        <v>2609</v>
      </c>
      <c r="F177" t="s">
        <v>2859</v>
      </c>
      <c r="G177" t="s">
        <v>28</v>
      </c>
      <c r="H177" t="s">
        <v>28</v>
      </c>
      <c r="I177" t="s">
        <v>810</v>
      </c>
    </row>
    <row r="178" spans="1:9" ht="11.25" customHeight="1">
      <c r="A178" t="s">
        <v>2248</v>
      </c>
      <c r="B178" t="s">
        <v>16</v>
      </c>
      <c r="C178" t="s">
        <v>2860</v>
      </c>
      <c r="D178" t="s">
        <v>2861</v>
      </c>
      <c r="E178" t="s">
        <v>2609</v>
      </c>
      <c r="F178" t="s">
        <v>2862</v>
      </c>
      <c r="G178" t="s">
        <v>2863</v>
      </c>
      <c r="H178" t="s">
        <v>28</v>
      </c>
      <c r="I178" t="s">
        <v>810</v>
      </c>
    </row>
    <row r="179" spans="1:9" ht="11.25" customHeight="1">
      <c r="A179" t="s">
        <v>2248</v>
      </c>
      <c r="B179" t="s">
        <v>16</v>
      </c>
      <c r="C179" t="s">
        <v>2864</v>
      </c>
      <c r="D179" t="s">
        <v>2865</v>
      </c>
      <c r="E179" t="s">
        <v>2866</v>
      </c>
      <c r="F179" t="s">
        <v>2715</v>
      </c>
      <c r="G179" t="s">
        <v>28</v>
      </c>
      <c r="H179" t="s">
        <v>28</v>
      </c>
      <c r="I179" t="s">
        <v>810</v>
      </c>
    </row>
    <row r="180" spans="1:9" ht="11.25" customHeight="1">
      <c r="A180" t="s">
        <v>2248</v>
      </c>
      <c r="B180" t="s">
        <v>16</v>
      </c>
      <c r="C180" t="s">
        <v>2867</v>
      </c>
      <c r="D180" t="s">
        <v>2868</v>
      </c>
      <c r="E180" t="s">
        <v>2869</v>
      </c>
      <c r="F180" t="s">
        <v>2307</v>
      </c>
      <c r="G180" t="s">
        <v>28</v>
      </c>
      <c r="H180" t="s">
        <v>28</v>
      </c>
      <c r="I180" t="s">
        <v>810</v>
      </c>
    </row>
    <row r="181" spans="1:9" ht="11.25" customHeight="1">
      <c r="A181" t="s">
        <v>2248</v>
      </c>
      <c r="B181" t="s">
        <v>16</v>
      </c>
      <c r="C181" t="s">
        <v>2870</v>
      </c>
      <c r="D181" t="s">
        <v>2871</v>
      </c>
      <c r="E181" t="s">
        <v>2872</v>
      </c>
      <c r="F181" t="s">
        <v>2491</v>
      </c>
      <c r="G181" t="s">
        <v>28</v>
      </c>
      <c r="H181" t="s">
        <v>28</v>
      </c>
      <c r="I181" t="s">
        <v>810</v>
      </c>
    </row>
    <row r="182" spans="1:9" ht="11.25" customHeight="1">
      <c r="A182" t="s">
        <v>2248</v>
      </c>
      <c r="B182" t="s">
        <v>16</v>
      </c>
      <c r="C182" t="s">
        <v>2873</v>
      </c>
      <c r="D182" t="s">
        <v>2874</v>
      </c>
      <c r="E182" t="s">
        <v>2875</v>
      </c>
      <c r="F182" t="s">
        <v>53</v>
      </c>
      <c r="G182" t="s">
        <v>28</v>
      </c>
      <c r="H182" t="s">
        <v>28</v>
      </c>
      <c r="I182" t="s">
        <v>810</v>
      </c>
    </row>
    <row r="183" spans="1:9" ht="11.25" customHeight="1">
      <c r="A183" t="s">
        <v>2248</v>
      </c>
      <c r="B183" t="s">
        <v>16</v>
      </c>
      <c r="C183" t="s">
        <v>2876</v>
      </c>
      <c r="D183" t="s">
        <v>2877</v>
      </c>
      <c r="E183" t="s">
        <v>2366</v>
      </c>
      <c r="F183" t="s">
        <v>2878</v>
      </c>
      <c r="G183" t="s">
        <v>28</v>
      </c>
      <c r="H183" t="s">
        <v>28</v>
      </c>
      <c r="I183" t="s">
        <v>810</v>
      </c>
    </row>
    <row r="184" spans="1:9" ht="11.25" customHeight="1">
      <c r="A184" t="s">
        <v>2248</v>
      </c>
      <c r="B184" t="s">
        <v>16</v>
      </c>
      <c r="C184" t="s">
        <v>2253</v>
      </c>
      <c r="D184" t="s">
        <v>2254</v>
      </c>
      <c r="E184" t="s">
        <v>2255</v>
      </c>
      <c r="F184" t="s">
        <v>2256</v>
      </c>
      <c r="G184" t="s">
        <v>28</v>
      </c>
      <c r="H184" t="s">
        <v>28</v>
      </c>
      <c r="I184" t="s">
        <v>896</v>
      </c>
    </row>
    <row r="185" spans="1:9" ht="11.25" customHeight="1">
      <c r="A185" t="s">
        <v>2248</v>
      </c>
      <c r="B185" t="s">
        <v>16</v>
      </c>
      <c r="C185" t="s">
        <v>2277</v>
      </c>
      <c r="D185" t="s">
        <v>2278</v>
      </c>
      <c r="E185" t="s">
        <v>2279</v>
      </c>
      <c r="F185" t="s">
        <v>2280</v>
      </c>
      <c r="G185" t="s">
        <v>28</v>
      </c>
      <c r="H185" t="s">
        <v>28</v>
      </c>
      <c r="I185" t="s">
        <v>896</v>
      </c>
    </row>
    <row r="186" spans="1:9" ht="11.25" customHeight="1">
      <c r="A186" t="s">
        <v>2248</v>
      </c>
      <c r="B186" t="s">
        <v>16</v>
      </c>
      <c r="C186" t="s">
        <v>2281</v>
      </c>
      <c r="D186" t="s">
        <v>2282</v>
      </c>
      <c r="E186" t="s">
        <v>2283</v>
      </c>
      <c r="F186" t="s">
        <v>2284</v>
      </c>
      <c r="G186" t="s">
        <v>2285</v>
      </c>
      <c r="H186" t="s">
        <v>28</v>
      </c>
      <c r="I186" t="s">
        <v>896</v>
      </c>
    </row>
    <row r="187" spans="1:9" ht="11.25" customHeight="1">
      <c r="A187" t="s">
        <v>2248</v>
      </c>
      <c r="B187" t="s">
        <v>16</v>
      </c>
      <c r="C187" t="s">
        <v>2296</v>
      </c>
      <c r="D187" t="s">
        <v>2297</v>
      </c>
      <c r="E187" t="s">
        <v>2298</v>
      </c>
      <c r="F187" t="s">
        <v>2299</v>
      </c>
      <c r="G187" t="s">
        <v>2300</v>
      </c>
      <c r="H187" t="s">
        <v>28</v>
      </c>
      <c r="I187" t="s">
        <v>896</v>
      </c>
    </row>
    <row r="188" spans="1:9" ht="11.25" customHeight="1">
      <c r="A188" t="s">
        <v>2248</v>
      </c>
      <c r="B188" t="s">
        <v>16</v>
      </c>
      <c r="C188" t="s">
        <v>2301</v>
      </c>
      <c r="D188" t="s">
        <v>2302</v>
      </c>
      <c r="E188" t="s">
        <v>2303</v>
      </c>
      <c r="F188" t="s">
        <v>2284</v>
      </c>
      <c r="G188" t="s">
        <v>28</v>
      </c>
      <c r="H188" t="s">
        <v>28</v>
      </c>
      <c r="I188" t="s">
        <v>896</v>
      </c>
    </row>
    <row r="189" spans="1:9" ht="11.25" customHeight="1">
      <c r="A189" t="s">
        <v>2248</v>
      </c>
      <c r="B189" t="s">
        <v>16</v>
      </c>
      <c r="C189" t="s">
        <v>2304</v>
      </c>
      <c r="D189" t="s">
        <v>2305</v>
      </c>
      <c r="E189" t="s">
        <v>2306</v>
      </c>
      <c r="F189" t="s">
        <v>2307</v>
      </c>
      <c r="G189" t="s">
        <v>28</v>
      </c>
      <c r="H189" t="s">
        <v>28</v>
      </c>
      <c r="I189" t="s">
        <v>896</v>
      </c>
    </row>
    <row r="190" spans="1:9" ht="11.25" customHeight="1">
      <c r="A190" t="s">
        <v>2248</v>
      </c>
      <c r="B190" t="s">
        <v>16</v>
      </c>
      <c r="C190" t="s">
        <v>2308</v>
      </c>
      <c r="D190" t="s">
        <v>2309</v>
      </c>
      <c r="E190" t="s">
        <v>2310</v>
      </c>
      <c r="F190" t="s">
        <v>2311</v>
      </c>
      <c r="G190" t="s">
        <v>28</v>
      </c>
      <c r="H190" t="s">
        <v>28</v>
      </c>
      <c r="I190" t="s">
        <v>896</v>
      </c>
    </row>
    <row r="191" spans="1:9" ht="11.25" customHeight="1">
      <c r="A191" t="s">
        <v>2248</v>
      </c>
      <c r="B191" t="s">
        <v>16</v>
      </c>
      <c r="C191" t="s">
        <v>2312</v>
      </c>
      <c r="D191" t="s">
        <v>2313</v>
      </c>
      <c r="E191" t="s">
        <v>2314</v>
      </c>
      <c r="F191" t="s">
        <v>2315</v>
      </c>
      <c r="G191" t="s">
        <v>28</v>
      </c>
      <c r="H191" t="s">
        <v>28</v>
      </c>
      <c r="I191" t="s">
        <v>896</v>
      </c>
    </row>
    <row r="192" spans="1:9" ht="11.25" customHeight="1">
      <c r="A192" t="s">
        <v>2248</v>
      </c>
      <c r="B192" t="s">
        <v>16</v>
      </c>
      <c r="C192" t="s">
        <v>2320</v>
      </c>
      <c r="D192" t="s">
        <v>2321</v>
      </c>
      <c r="E192" t="s">
        <v>2322</v>
      </c>
      <c r="F192" t="s">
        <v>2323</v>
      </c>
      <c r="G192" t="s">
        <v>28</v>
      </c>
      <c r="H192" t="s">
        <v>28</v>
      </c>
      <c r="I192" t="s">
        <v>896</v>
      </c>
    </row>
    <row r="193" spans="1:9" ht="11.25" customHeight="1">
      <c r="A193" t="s">
        <v>2248</v>
      </c>
      <c r="B193" t="s">
        <v>16</v>
      </c>
      <c r="C193" t="s">
        <v>2324</v>
      </c>
      <c r="D193" t="s">
        <v>2325</v>
      </c>
      <c r="E193" t="s">
        <v>2326</v>
      </c>
      <c r="F193" t="s">
        <v>2276</v>
      </c>
      <c r="G193" t="s">
        <v>2327</v>
      </c>
      <c r="H193" t="s">
        <v>28</v>
      </c>
      <c r="I193" t="s">
        <v>896</v>
      </c>
    </row>
    <row r="194" spans="1:9" ht="11.25" customHeight="1">
      <c r="A194" t="s">
        <v>2248</v>
      </c>
      <c r="B194" t="s">
        <v>16</v>
      </c>
      <c r="C194" t="s">
        <v>2376</v>
      </c>
      <c r="D194" t="s">
        <v>2377</v>
      </c>
      <c r="E194" t="s">
        <v>2378</v>
      </c>
      <c r="F194" t="s">
        <v>2379</v>
      </c>
      <c r="G194" t="s">
        <v>2380</v>
      </c>
      <c r="H194" t="s">
        <v>28</v>
      </c>
      <c r="I194" t="s">
        <v>896</v>
      </c>
    </row>
    <row r="195" spans="1:9" ht="11.25" customHeight="1">
      <c r="A195" t="s">
        <v>2248</v>
      </c>
      <c r="B195" t="s">
        <v>16</v>
      </c>
      <c r="C195" t="s">
        <v>2406</v>
      </c>
      <c r="D195" t="s">
        <v>2407</v>
      </c>
      <c r="E195" t="s">
        <v>2408</v>
      </c>
      <c r="F195" t="s">
        <v>2409</v>
      </c>
      <c r="G195" t="s">
        <v>2410</v>
      </c>
      <c r="H195" t="s">
        <v>28</v>
      </c>
      <c r="I195" t="s">
        <v>896</v>
      </c>
    </row>
    <row r="196" spans="1:9" ht="11.25" customHeight="1">
      <c r="A196" t="s">
        <v>2248</v>
      </c>
      <c r="B196" t="s">
        <v>16</v>
      </c>
      <c r="C196" t="s">
        <v>2415</v>
      </c>
      <c r="D196" t="s">
        <v>2416</v>
      </c>
      <c r="E196" t="s">
        <v>2417</v>
      </c>
      <c r="F196" t="s">
        <v>2409</v>
      </c>
      <c r="G196" t="s">
        <v>2418</v>
      </c>
      <c r="H196" t="s">
        <v>28</v>
      </c>
      <c r="I196" t="s">
        <v>896</v>
      </c>
    </row>
    <row r="197" spans="1:9" ht="11.25" customHeight="1">
      <c r="A197" t="s">
        <v>2248</v>
      </c>
      <c r="B197" t="s">
        <v>16</v>
      </c>
      <c r="C197" t="s">
        <v>2422</v>
      </c>
      <c r="D197" t="s">
        <v>2423</v>
      </c>
      <c r="E197" t="s">
        <v>2424</v>
      </c>
      <c r="F197" t="s">
        <v>2271</v>
      </c>
      <c r="G197" t="s">
        <v>28</v>
      </c>
      <c r="H197" t="s">
        <v>28</v>
      </c>
      <c r="I197" t="s">
        <v>896</v>
      </c>
    </row>
    <row r="198" spans="1:9" ht="11.25" customHeight="1">
      <c r="A198" t="s">
        <v>2248</v>
      </c>
      <c r="B198" t="s">
        <v>16</v>
      </c>
      <c r="C198" t="s">
        <v>2425</v>
      </c>
      <c r="D198" t="s">
        <v>2426</v>
      </c>
      <c r="E198" t="s">
        <v>2427</v>
      </c>
      <c r="F198" t="s">
        <v>2299</v>
      </c>
      <c r="G198" t="s">
        <v>28</v>
      </c>
      <c r="H198" t="s">
        <v>28</v>
      </c>
      <c r="I198" t="s">
        <v>896</v>
      </c>
    </row>
    <row r="199" spans="1:9" ht="11.25" customHeight="1">
      <c r="A199" t="s">
        <v>2248</v>
      </c>
      <c r="B199" t="s">
        <v>16</v>
      </c>
      <c r="C199" t="s">
        <v>2428</v>
      </c>
      <c r="D199" t="s">
        <v>2429</v>
      </c>
      <c r="E199" t="s">
        <v>2430</v>
      </c>
      <c r="F199" t="s">
        <v>2431</v>
      </c>
      <c r="G199" t="s">
        <v>2432</v>
      </c>
      <c r="H199" t="s">
        <v>28</v>
      </c>
      <c r="I199" t="s">
        <v>896</v>
      </c>
    </row>
    <row r="200" spans="1:9" ht="11.25" customHeight="1">
      <c r="A200" t="s">
        <v>2248</v>
      </c>
      <c r="B200" t="s">
        <v>16</v>
      </c>
      <c r="C200" t="s">
        <v>2433</v>
      </c>
      <c r="D200" t="s">
        <v>2434</v>
      </c>
      <c r="E200" t="s">
        <v>2435</v>
      </c>
      <c r="F200" t="s">
        <v>2431</v>
      </c>
      <c r="G200" t="s">
        <v>2436</v>
      </c>
      <c r="H200" t="s">
        <v>28</v>
      </c>
      <c r="I200" t="s">
        <v>896</v>
      </c>
    </row>
    <row r="201" spans="1:9" ht="11.25" customHeight="1">
      <c r="A201" t="s">
        <v>2248</v>
      </c>
      <c r="B201" t="s">
        <v>16</v>
      </c>
      <c r="C201" t="s">
        <v>2437</v>
      </c>
      <c r="D201" t="s">
        <v>2438</v>
      </c>
      <c r="E201" t="s">
        <v>2439</v>
      </c>
      <c r="F201" t="s">
        <v>53</v>
      </c>
      <c r="G201" t="s">
        <v>28</v>
      </c>
      <c r="H201" t="s">
        <v>28</v>
      </c>
      <c r="I201" t="s">
        <v>896</v>
      </c>
    </row>
    <row r="202" spans="1:9" ht="11.25" customHeight="1">
      <c r="A202" t="s">
        <v>2248</v>
      </c>
      <c r="B202" t="s">
        <v>16</v>
      </c>
      <c r="C202" t="s">
        <v>2440</v>
      </c>
      <c r="D202" t="s">
        <v>2441</v>
      </c>
      <c r="E202" t="s">
        <v>2442</v>
      </c>
      <c r="F202" t="s">
        <v>2307</v>
      </c>
      <c r="G202" t="s">
        <v>28</v>
      </c>
      <c r="H202" t="s">
        <v>28</v>
      </c>
      <c r="I202" t="s">
        <v>896</v>
      </c>
    </row>
    <row r="203" spans="1:9" ht="11.25" customHeight="1">
      <c r="A203" t="s">
        <v>2248</v>
      </c>
      <c r="B203" t="s">
        <v>16</v>
      </c>
      <c r="C203" t="s">
        <v>2443</v>
      </c>
      <c r="D203" t="s">
        <v>2444</v>
      </c>
      <c r="E203" t="s">
        <v>2445</v>
      </c>
      <c r="F203" t="s">
        <v>2299</v>
      </c>
      <c r="G203" t="s">
        <v>2446</v>
      </c>
      <c r="H203" t="s">
        <v>28</v>
      </c>
      <c r="I203" t="s">
        <v>896</v>
      </c>
    </row>
    <row r="204" spans="1:9" ht="11.25" customHeight="1">
      <c r="A204" t="s">
        <v>2248</v>
      </c>
      <c r="B204" t="s">
        <v>16</v>
      </c>
      <c r="C204" t="s">
        <v>2447</v>
      </c>
      <c r="D204" t="s">
        <v>2448</v>
      </c>
      <c r="E204" t="s">
        <v>2449</v>
      </c>
      <c r="F204" t="s">
        <v>2299</v>
      </c>
      <c r="G204" t="s">
        <v>2450</v>
      </c>
      <c r="H204" t="s">
        <v>28</v>
      </c>
      <c r="I204" t="s">
        <v>896</v>
      </c>
    </row>
    <row r="205" spans="1:9" ht="11.25" customHeight="1">
      <c r="A205" t="s">
        <v>2248</v>
      </c>
      <c r="B205" t="s">
        <v>16</v>
      </c>
      <c r="C205" t="s">
        <v>2454</v>
      </c>
      <c r="D205" t="s">
        <v>2455</v>
      </c>
      <c r="E205" t="s">
        <v>2456</v>
      </c>
      <c r="F205" t="s">
        <v>2457</v>
      </c>
      <c r="G205" t="s">
        <v>2458</v>
      </c>
      <c r="H205" t="s">
        <v>28</v>
      </c>
      <c r="I205" t="s">
        <v>896</v>
      </c>
    </row>
    <row r="206" spans="1:9" ht="11.25" customHeight="1">
      <c r="A206" t="s">
        <v>2248</v>
      </c>
      <c r="B206" t="s">
        <v>16</v>
      </c>
      <c r="C206" t="s">
        <v>2463</v>
      </c>
      <c r="D206" t="s">
        <v>2464</v>
      </c>
      <c r="E206" t="s">
        <v>2465</v>
      </c>
      <c r="F206" t="s">
        <v>2466</v>
      </c>
      <c r="G206" t="s">
        <v>28</v>
      </c>
      <c r="H206" t="s">
        <v>28</v>
      </c>
      <c r="I206" t="s">
        <v>896</v>
      </c>
    </row>
    <row r="207" spans="1:9" ht="11.25" customHeight="1">
      <c r="A207" t="s">
        <v>2248</v>
      </c>
      <c r="B207" t="s">
        <v>16</v>
      </c>
      <c r="C207" t="s">
        <v>2467</v>
      </c>
      <c r="D207" t="s">
        <v>2468</v>
      </c>
      <c r="E207" t="s">
        <v>2469</v>
      </c>
      <c r="F207" t="s">
        <v>2409</v>
      </c>
      <c r="G207" t="s">
        <v>28</v>
      </c>
      <c r="H207" t="s">
        <v>28</v>
      </c>
      <c r="I207" t="s">
        <v>896</v>
      </c>
    </row>
    <row r="208" spans="1:9" ht="11.25" customHeight="1">
      <c r="A208" t="s">
        <v>2248</v>
      </c>
      <c r="B208" t="s">
        <v>16</v>
      </c>
      <c r="C208" t="s">
        <v>2470</v>
      </c>
      <c r="D208" t="s">
        <v>2471</v>
      </c>
      <c r="E208" t="s">
        <v>2472</v>
      </c>
      <c r="F208" t="s">
        <v>2473</v>
      </c>
      <c r="G208" t="s">
        <v>28</v>
      </c>
      <c r="H208" t="s">
        <v>28</v>
      </c>
      <c r="I208" t="s">
        <v>896</v>
      </c>
    </row>
    <row r="209" spans="1:9" ht="11.25" customHeight="1">
      <c r="A209" t="s">
        <v>2248</v>
      </c>
      <c r="B209" t="s">
        <v>16</v>
      </c>
      <c r="C209" t="s">
        <v>2474</v>
      </c>
      <c r="D209" t="s">
        <v>2475</v>
      </c>
      <c r="E209" t="s">
        <v>2476</v>
      </c>
      <c r="F209" t="s">
        <v>2409</v>
      </c>
      <c r="G209" t="s">
        <v>28</v>
      </c>
      <c r="H209" t="s">
        <v>28</v>
      </c>
      <c r="I209" t="s">
        <v>896</v>
      </c>
    </row>
    <row r="210" spans="1:9" ht="11.25" customHeight="1">
      <c r="A210" t="s">
        <v>2248</v>
      </c>
      <c r="B210" t="s">
        <v>16</v>
      </c>
      <c r="C210" t="s">
        <v>2477</v>
      </c>
      <c r="D210" t="s">
        <v>2478</v>
      </c>
      <c r="E210" t="s">
        <v>2479</v>
      </c>
      <c r="F210" t="s">
        <v>2480</v>
      </c>
      <c r="G210" t="s">
        <v>28</v>
      </c>
      <c r="H210" t="s">
        <v>28</v>
      </c>
      <c r="I210" t="s">
        <v>896</v>
      </c>
    </row>
    <row r="211" spans="1:9" ht="11.25" customHeight="1">
      <c r="A211" t="s">
        <v>2248</v>
      </c>
      <c r="B211" t="s">
        <v>16</v>
      </c>
      <c r="C211" t="s">
        <v>2481</v>
      </c>
      <c r="D211" t="s">
        <v>2482</v>
      </c>
      <c r="E211" t="s">
        <v>2483</v>
      </c>
      <c r="F211" t="s">
        <v>2256</v>
      </c>
      <c r="G211" t="s">
        <v>2484</v>
      </c>
      <c r="H211" t="s">
        <v>28</v>
      </c>
      <c r="I211" t="s">
        <v>896</v>
      </c>
    </row>
    <row r="212" spans="1:9" ht="11.25" customHeight="1">
      <c r="A212" t="s">
        <v>2248</v>
      </c>
      <c r="B212" t="s">
        <v>16</v>
      </c>
      <c r="C212" t="s">
        <v>2485</v>
      </c>
      <c r="D212" t="s">
        <v>2486</v>
      </c>
      <c r="E212" t="s">
        <v>2487</v>
      </c>
      <c r="F212" t="s">
        <v>2256</v>
      </c>
      <c r="G212" t="s">
        <v>28</v>
      </c>
      <c r="H212" t="s">
        <v>28</v>
      </c>
      <c r="I212" t="s">
        <v>896</v>
      </c>
    </row>
    <row r="213" spans="1:9" ht="11.25" customHeight="1">
      <c r="A213" t="s">
        <v>2248</v>
      </c>
      <c r="B213" t="s">
        <v>16</v>
      </c>
      <c r="C213" t="s">
        <v>2488</v>
      </c>
      <c r="D213" t="s">
        <v>2489</v>
      </c>
      <c r="E213" t="s">
        <v>2490</v>
      </c>
      <c r="F213" t="s">
        <v>2491</v>
      </c>
      <c r="G213" t="s">
        <v>28</v>
      </c>
      <c r="H213" t="s">
        <v>28</v>
      </c>
      <c r="I213" t="s">
        <v>896</v>
      </c>
    </row>
    <row r="214" spans="1:9" ht="11.25" customHeight="1">
      <c r="A214" t="s">
        <v>2248</v>
      </c>
      <c r="B214" t="s">
        <v>16</v>
      </c>
      <c r="C214" t="s">
        <v>2496</v>
      </c>
      <c r="D214" t="s">
        <v>2497</v>
      </c>
      <c r="E214" t="s">
        <v>2498</v>
      </c>
      <c r="F214" t="s">
        <v>2256</v>
      </c>
      <c r="G214" t="s">
        <v>2499</v>
      </c>
      <c r="H214" t="s">
        <v>28</v>
      </c>
      <c r="I214" t="s">
        <v>896</v>
      </c>
    </row>
    <row r="215" spans="1:9" ht="11.25" customHeight="1">
      <c r="A215" t="s">
        <v>2248</v>
      </c>
      <c r="B215" t="s">
        <v>16</v>
      </c>
      <c r="C215" t="s">
        <v>2503</v>
      </c>
      <c r="D215" t="s">
        <v>2504</v>
      </c>
      <c r="E215" t="s">
        <v>2505</v>
      </c>
      <c r="F215" t="s">
        <v>2307</v>
      </c>
      <c r="G215" t="s">
        <v>2506</v>
      </c>
      <c r="H215" t="s">
        <v>28</v>
      </c>
      <c r="I215" t="s">
        <v>896</v>
      </c>
    </row>
    <row r="216" spans="1:9" ht="11.25" customHeight="1">
      <c r="A216" t="s">
        <v>2248</v>
      </c>
      <c r="B216" t="s">
        <v>16</v>
      </c>
      <c r="C216" t="s">
        <v>2507</v>
      </c>
      <c r="D216" t="s">
        <v>2508</v>
      </c>
      <c r="E216" t="s">
        <v>2509</v>
      </c>
      <c r="F216" t="s">
        <v>2276</v>
      </c>
      <c r="G216" t="s">
        <v>2510</v>
      </c>
      <c r="H216" t="s">
        <v>28</v>
      </c>
      <c r="I216" t="s">
        <v>896</v>
      </c>
    </row>
    <row r="217" spans="1:9" ht="11.25" customHeight="1">
      <c r="A217" t="s">
        <v>2248</v>
      </c>
      <c r="B217" t="s">
        <v>16</v>
      </c>
      <c r="C217" t="s">
        <v>2515</v>
      </c>
      <c r="D217" t="s">
        <v>2516</v>
      </c>
      <c r="E217" t="s">
        <v>2517</v>
      </c>
      <c r="F217" t="s">
        <v>2473</v>
      </c>
      <c r="G217" t="s">
        <v>28</v>
      </c>
      <c r="H217" t="s">
        <v>28</v>
      </c>
      <c r="I217" t="s">
        <v>896</v>
      </c>
    </row>
    <row r="218" spans="1:9" ht="11.25" customHeight="1">
      <c r="A218" t="s">
        <v>2248</v>
      </c>
      <c r="B218" t="s">
        <v>16</v>
      </c>
      <c r="C218" t="s">
        <v>2559</v>
      </c>
      <c r="D218" t="s">
        <v>2560</v>
      </c>
      <c r="E218" t="s">
        <v>2251</v>
      </c>
      <c r="F218" t="s">
        <v>2561</v>
      </c>
      <c r="G218" t="s">
        <v>28</v>
      </c>
      <c r="H218" t="s">
        <v>28</v>
      </c>
      <c r="I218" t="s">
        <v>896</v>
      </c>
    </row>
    <row r="219" spans="1:9" ht="11.25" customHeight="1">
      <c r="A219" t="s">
        <v>2248</v>
      </c>
      <c r="B219" t="s">
        <v>16</v>
      </c>
      <c r="C219" t="s">
        <v>2562</v>
      </c>
      <c r="D219" t="s">
        <v>2563</v>
      </c>
      <c r="E219" t="s">
        <v>2251</v>
      </c>
      <c r="F219" t="s">
        <v>2564</v>
      </c>
      <c r="G219" t="s">
        <v>28</v>
      </c>
      <c r="H219" t="s">
        <v>28</v>
      </c>
      <c r="I219" t="s">
        <v>896</v>
      </c>
    </row>
    <row r="220" spans="1:9" ht="11.25" customHeight="1">
      <c r="A220" t="s">
        <v>2248</v>
      </c>
      <c r="B220" t="s">
        <v>16</v>
      </c>
      <c r="C220" t="s">
        <v>2565</v>
      </c>
      <c r="D220" t="s">
        <v>2566</v>
      </c>
      <c r="E220" t="s">
        <v>2251</v>
      </c>
      <c r="F220" t="s">
        <v>2567</v>
      </c>
      <c r="G220" t="s">
        <v>28</v>
      </c>
      <c r="H220" t="s">
        <v>28</v>
      </c>
      <c r="I220" t="s">
        <v>896</v>
      </c>
    </row>
    <row r="221" spans="1:9" ht="11.25" customHeight="1">
      <c r="A221" t="s">
        <v>2248</v>
      </c>
      <c r="B221" t="s">
        <v>16</v>
      </c>
      <c r="C221" t="s">
        <v>2568</v>
      </c>
      <c r="D221" t="s">
        <v>2569</v>
      </c>
      <c r="E221" t="s">
        <v>2251</v>
      </c>
      <c r="F221" t="s">
        <v>2570</v>
      </c>
      <c r="G221" t="s">
        <v>28</v>
      </c>
      <c r="H221" t="s">
        <v>28</v>
      </c>
      <c r="I221" t="s">
        <v>896</v>
      </c>
    </row>
    <row r="222" spans="1:9" ht="11.25" customHeight="1">
      <c r="A222" t="s">
        <v>2248</v>
      </c>
      <c r="B222" t="s">
        <v>16</v>
      </c>
      <c r="C222" t="s">
        <v>2571</v>
      </c>
      <c r="D222" t="s">
        <v>2572</v>
      </c>
      <c r="E222" t="s">
        <v>2251</v>
      </c>
      <c r="F222" t="s">
        <v>2573</v>
      </c>
      <c r="G222" t="s">
        <v>28</v>
      </c>
      <c r="H222" t="s">
        <v>28</v>
      </c>
      <c r="I222" t="s">
        <v>896</v>
      </c>
    </row>
    <row r="223" spans="1:9" ht="11.25" customHeight="1">
      <c r="A223" t="s">
        <v>2248</v>
      </c>
      <c r="B223" t="s">
        <v>16</v>
      </c>
      <c r="C223" t="s">
        <v>2574</v>
      </c>
      <c r="D223" t="s">
        <v>2575</v>
      </c>
      <c r="E223" t="s">
        <v>2251</v>
      </c>
      <c r="F223" t="s">
        <v>2576</v>
      </c>
      <c r="G223" t="s">
        <v>28</v>
      </c>
      <c r="H223" t="s">
        <v>28</v>
      </c>
      <c r="I223" t="s">
        <v>896</v>
      </c>
    </row>
    <row r="224" spans="1:9" ht="11.25" customHeight="1">
      <c r="A224" t="s">
        <v>2248</v>
      </c>
      <c r="B224" t="s">
        <v>16</v>
      </c>
      <c r="C224" t="s">
        <v>2580</v>
      </c>
      <c r="D224" t="s">
        <v>2581</v>
      </c>
      <c r="E224" t="s">
        <v>2251</v>
      </c>
      <c r="F224" t="s">
        <v>2582</v>
      </c>
      <c r="G224" t="s">
        <v>28</v>
      </c>
      <c r="H224" t="s">
        <v>28</v>
      </c>
      <c r="I224" t="s">
        <v>896</v>
      </c>
    </row>
    <row r="225" spans="1:9" ht="11.25" customHeight="1">
      <c r="A225" t="s">
        <v>2248</v>
      </c>
      <c r="B225" t="s">
        <v>16</v>
      </c>
      <c r="C225" t="s">
        <v>2583</v>
      </c>
      <c r="D225" t="s">
        <v>2584</v>
      </c>
      <c r="E225" t="s">
        <v>2251</v>
      </c>
      <c r="F225" t="s">
        <v>2585</v>
      </c>
      <c r="G225" t="s">
        <v>28</v>
      </c>
      <c r="H225" t="s">
        <v>28</v>
      </c>
      <c r="I225" t="s">
        <v>896</v>
      </c>
    </row>
    <row r="226" spans="1:9" ht="11.25" customHeight="1">
      <c r="A226" t="s">
        <v>2248</v>
      </c>
      <c r="B226" t="s">
        <v>16</v>
      </c>
      <c r="C226" t="s">
        <v>2586</v>
      </c>
      <c r="D226" t="s">
        <v>2587</v>
      </c>
      <c r="E226" t="s">
        <v>2588</v>
      </c>
      <c r="F226" t="s">
        <v>2589</v>
      </c>
      <c r="G226" t="s">
        <v>28</v>
      </c>
      <c r="H226" t="s">
        <v>28</v>
      </c>
      <c r="I226" t="s">
        <v>896</v>
      </c>
    </row>
    <row r="227" spans="1:9" ht="11.25" customHeight="1">
      <c r="A227" t="s">
        <v>2248</v>
      </c>
      <c r="B227" t="s">
        <v>16</v>
      </c>
      <c r="C227" t="s">
        <v>2590</v>
      </c>
      <c r="D227" t="s">
        <v>2591</v>
      </c>
      <c r="E227" t="s">
        <v>2588</v>
      </c>
      <c r="F227" t="s">
        <v>2592</v>
      </c>
      <c r="G227" t="s">
        <v>28</v>
      </c>
      <c r="H227" t="s">
        <v>28</v>
      </c>
      <c r="I227" t="s">
        <v>896</v>
      </c>
    </row>
    <row r="228" spans="1:9" ht="11.25" customHeight="1">
      <c r="A228" t="s">
        <v>2248</v>
      </c>
      <c r="B228" t="s">
        <v>16</v>
      </c>
      <c r="C228" t="s">
        <v>2593</v>
      </c>
      <c r="D228" t="s">
        <v>2594</v>
      </c>
      <c r="E228" t="s">
        <v>2588</v>
      </c>
      <c r="F228" t="s">
        <v>2595</v>
      </c>
      <c r="G228" t="s">
        <v>28</v>
      </c>
      <c r="H228" t="s">
        <v>28</v>
      </c>
      <c r="I228" t="s">
        <v>896</v>
      </c>
    </row>
    <row r="229" spans="1:9" ht="11.25" customHeight="1">
      <c r="A229" t="s">
        <v>2248</v>
      </c>
      <c r="B229" t="s">
        <v>16</v>
      </c>
      <c r="C229" t="s">
        <v>2607</v>
      </c>
      <c r="D229" t="s">
        <v>2608</v>
      </c>
      <c r="E229" t="s">
        <v>2609</v>
      </c>
      <c r="F229" t="s">
        <v>2599</v>
      </c>
      <c r="G229" t="s">
        <v>2600</v>
      </c>
      <c r="H229" t="s">
        <v>28</v>
      </c>
      <c r="I229" t="s">
        <v>896</v>
      </c>
    </row>
    <row r="230" spans="1:9" ht="11.25" customHeight="1">
      <c r="A230" t="s">
        <v>2248</v>
      </c>
      <c r="B230" t="s">
        <v>16</v>
      </c>
      <c r="C230" t="s">
        <v>2615</v>
      </c>
      <c r="D230" t="s">
        <v>2616</v>
      </c>
      <c r="E230" t="s">
        <v>2617</v>
      </c>
      <c r="F230" t="s">
        <v>2618</v>
      </c>
      <c r="G230" t="s">
        <v>28</v>
      </c>
      <c r="H230" t="s">
        <v>28</v>
      </c>
      <c r="I230" t="s">
        <v>896</v>
      </c>
    </row>
    <row r="231" spans="1:9" ht="11.25" customHeight="1">
      <c r="A231" t="s">
        <v>2248</v>
      </c>
      <c r="B231" t="s">
        <v>16</v>
      </c>
      <c r="C231" t="s">
        <v>2629</v>
      </c>
      <c r="D231" t="s">
        <v>2630</v>
      </c>
      <c r="E231" t="s">
        <v>2631</v>
      </c>
      <c r="F231" t="s">
        <v>2295</v>
      </c>
      <c r="G231" t="s">
        <v>28</v>
      </c>
      <c r="H231" t="s">
        <v>28</v>
      </c>
      <c r="I231" t="s">
        <v>896</v>
      </c>
    </row>
    <row r="232" spans="1:9" ht="11.25" customHeight="1">
      <c r="A232" t="s">
        <v>2248</v>
      </c>
      <c r="B232" t="s">
        <v>16</v>
      </c>
      <c r="C232" t="s">
        <v>2641</v>
      </c>
      <c r="D232" t="s">
        <v>2642</v>
      </c>
      <c r="E232" t="s">
        <v>2643</v>
      </c>
      <c r="F232" t="s">
        <v>2256</v>
      </c>
      <c r="G232" t="s">
        <v>2644</v>
      </c>
      <c r="H232" t="s">
        <v>28</v>
      </c>
      <c r="I232" t="s">
        <v>896</v>
      </c>
    </row>
    <row r="233" spans="1:9" ht="11.25" customHeight="1">
      <c r="A233" t="s">
        <v>2248</v>
      </c>
      <c r="B233" t="s">
        <v>16</v>
      </c>
      <c r="C233" t="s">
        <v>2669</v>
      </c>
      <c r="D233" t="s">
        <v>2670</v>
      </c>
      <c r="E233" t="s">
        <v>2671</v>
      </c>
      <c r="F233" t="s">
        <v>2648</v>
      </c>
      <c r="G233" t="s">
        <v>28</v>
      </c>
      <c r="H233" t="s">
        <v>28</v>
      </c>
      <c r="I233" t="s">
        <v>896</v>
      </c>
    </row>
    <row r="234" spans="1:9" ht="11.25" customHeight="1">
      <c r="A234" t="s">
        <v>2248</v>
      </c>
      <c r="B234" t="s">
        <v>16</v>
      </c>
      <c r="C234" t="s">
        <v>2682</v>
      </c>
      <c r="D234" t="s">
        <v>2683</v>
      </c>
      <c r="E234" t="s">
        <v>2684</v>
      </c>
      <c r="F234" t="s">
        <v>2685</v>
      </c>
      <c r="G234" t="s">
        <v>2686</v>
      </c>
      <c r="H234" t="s">
        <v>28</v>
      </c>
      <c r="I234" t="s">
        <v>896</v>
      </c>
    </row>
    <row r="235" spans="1:9" ht="11.25" customHeight="1">
      <c r="A235" t="s">
        <v>2248</v>
      </c>
      <c r="B235" t="s">
        <v>16</v>
      </c>
      <c r="C235" t="s">
        <v>2687</v>
      </c>
      <c r="D235" t="s">
        <v>2688</v>
      </c>
      <c r="E235" t="s">
        <v>2689</v>
      </c>
      <c r="F235" t="s">
        <v>2648</v>
      </c>
      <c r="G235" t="s">
        <v>28</v>
      </c>
      <c r="H235" t="s">
        <v>28</v>
      </c>
      <c r="I235" t="s">
        <v>896</v>
      </c>
    </row>
    <row r="236" spans="1:9" ht="11.25" customHeight="1">
      <c r="A236" t="s">
        <v>2248</v>
      </c>
      <c r="B236" t="s">
        <v>16</v>
      </c>
      <c r="C236" t="s">
        <v>2700</v>
      </c>
      <c r="D236" t="s">
        <v>2701</v>
      </c>
      <c r="E236" t="s">
        <v>2251</v>
      </c>
      <c r="F236" t="s">
        <v>2702</v>
      </c>
      <c r="G236" t="s">
        <v>28</v>
      </c>
      <c r="H236" t="s">
        <v>28</v>
      </c>
      <c r="I236" t="s">
        <v>896</v>
      </c>
    </row>
    <row r="237" spans="1:9" ht="11.25" customHeight="1">
      <c r="A237" t="s">
        <v>2248</v>
      </c>
      <c r="B237" t="s">
        <v>16</v>
      </c>
      <c r="C237" t="s">
        <v>2733</v>
      </c>
      <c r="D237" t="s">
        <v>2734</v>
      </c>
      <c r="E237" t="s">
        <v>2279</v>
      </c>
      <c r="F237" t="s">
        <v>2735</v>
      </c>
      <c r="G237" t="s">
        <v>28</v>
      </c>
      <c r="H237" t="s">
        <v>28</v>
      </c>
      <c r="I237" t="s">
        <v>896</v>
      </c>
    </row>
    <row r="238" spans="1:9" ht="11.25" customHeight="1">
      <c r="A238" t="s">
        <v>2248</v>
      </c>
      <c r="B238" t="s">
        <v>16</v>
      </c>
      <c r="C238" t="s">
        <v>2736</v>
      </c>
      <c r="D238" t="s">
        <v>2737</v>
      </c>
      <c r="E238" t="s">
        <v>2738</v>
      </c>
      <c r="F238" t="s">
        <v>2307</v>
      </c>
      <c r="G238" t="s">
        <v>28</v>
      </c>
      <c r="H238" t="s">
        <v>28</v>
      </c>
      <c r="I238" t="s">
        <v>896</v>
      </c>
    </row>
    <row r="239" spans="1:9" ht="11.25" customHeight="1">
      <c r="A239" t="s">
        <v>2248</v>
      </c>
      <c r="B239" t="s">
        <v>16</v>
      </c>
      <c r="C239" t="s">
        <v>2761</v>
      </c>
      <c r="D239" t="s">
        <v>2762</v>
      </c>
      <c r="E239" t="s">
        <v>2763</v>
      </c>
      <c r="F239" t="s">
        <v>2409</v>
      </c>
      <c r="G239" t="s">
        <v>2764</v>
      </c>
      <c r="H239" t="s">
        <v>28</v>
      </c>
      <c r="I239" t="s">
        <v>896</v>
      </c>
    </row>
    <row r="240" spans="1:9" ht="11.25" customHeight="1">
      <c r="A240" t="s">
        <v>2248</v>
      </c>
      <c r="B240" t="s">
        <v>16</v>
      </c>
      <c r="C240" t="s">
        <v>2768</v>
      </c>
      <c r="D240" t="s">
        <v>2769</v>
      </c>
      <c r="E240" t="s">
        <v>2770</v>
      </c>
      <c r="F240" t="s">
        <v>2307</v>
      </c>
      <c r="G240" t="s">
        <v>2771</v>
      </c>
      <c r="H240" t="s">
        <v>28</v>
      </c>
      <c r="I240" t="s">
        <v>896</v>
      </c>
    </row>
    <row r="241" spans="1:9" ht="11.25" customHeight="1">
      <c r="A241" t="s">
        <v>2248</v>
      </c>
      <c r="B241" t="s">
        <v>16</v>
      </c>
      <c r="C241" t="s">
        <v>2798</v>
      </c>
      <c r="D241" t="s">
        <v>2799</v>
      </c>
      <c r="E241" t="s">
        <v>2800</v>
      </c>
      <c r="F241" t="s">
        <v>2339</v>
      </c>
      <c r="G241" t="s">
        <v>2801</v>
      </c>
      <c r="H241" t="s">
        <v>28</v>
      </c>
      <c r="I241" t="s">
        <v>896</v>
      </c>
    </row>
    <row r="242" spans="1:9" ht="11.25" customHeight="1">
      <c r="A242" t="s">
        <v>2248</v>
      </c>
      <c r="B242" t="s">
        <v>16</v>
      </c>
      <c r="C242" t="s">
        <v>2810</v>
      </c>
      <c r="D242" t="s">
        <v>2811</v>
      </c>
      <c r="E242" t="s">
        <v>2812</v>
      </c>
      <c r="F242" t="s">
        <v>2648</v>
      </c>
      <c r="G242" t="s">
        <v>2813</v>
      </c>
      <c r="H242" t="s">
        <v>28</v>
      </c>
      <c r="I242" t="s">
        <v>896</v>
      </c>
    </row>
    <row r="243" spans="1:9" ht="11.25" customHeight="1">
      <c r="A243" t="s">
        <v>2248</v>
      </c>
      <c r="B243" t="s">
        <v>16</v>
      </c>
      <c r="C243" t="s">
        <v>28</v>
      </c>
      <c r="D243" t="s">
        <v>2821</v>
      </c>
      <c r="E243" t="s">
        <v>2822</v>
      </c>
      <c r="F243" t="s">
        <v>53</v>
      </c>
      <c r="G243" t="s">
        <v>28</v>
      </c>
      <c r="H243" t="s">
        <v>28</v>
      </c>
      <c r="I243" t="s">
        <v>896</v>
      </c>
    </row>
    <row r="244" spans="1:9" ht="11.25" customHeight="1">
      <c r="A244" t="s">
        <v>2248</v>
      </c>
      <c r="B244" t="s">
        <v>16</v>
      </c>
      <c r="C244" t="s">
        <v>28</v>
      </c>
      <c r="D244" t="s">
        <v>2823</v>
      </c>
      <c r="E244" t="s">
        <v>2824</v>
      </c>
      <c r="F244" t="s">
        <v>2319</v>
      </c>
      <c r="G244" t="s">
        <v>28</v>
      </c>
      <c r="H244" t="s">
        <v>28</v>
      </c>
      <c r="I244" t="s">
        <v>896</v>
      </c>
    </row>
    <row r="245" spans="1:9" ht="11.25" customHeight="1">
      <c r="A245" t="s">
        <v>2248</v>
      </c>
      <c r="B245" t="s">
        <v>16</v>
      </c>
      <c r="C245" t="s">
        <v>2825</v>
      </c>
      <c r="D245" t="s">
        <v>2826</v>
      </c>
      <c r="E245" t="s">
        <v>2827</v>
      </c>
      <c r="F245" t="s">
        <v>2289</v>
      </c>
      <c r="G245" t="s">
        <v>28</v>
      </c>
      <c r="H245" t="s">
        <v>28</v>
      </c>
      <c r="I245" t="s">
        <v>896</v>
      </c>
    </row>
    <row r="246" spans="1:9" ht="11.25" customHeight="1">
      <c r="A246" t="s">
        <v>2248</v>
      </c>
      <c r="B246" t="s">
        <v>16</v>
      </c>
      <c r="C246" t="s">
        <v>2834</v>
      </c>
      <c r="D246" t="s">
        <v>2835</v>
      </c>
      <c r="E246" t="s">
        <v>2836</v>
      </c>
      <c r="F246" t="s">
        <v>2289</v>
      </c>
      <c r="G246" t="s">
        <v>28</v>
      </c>
      <c r="H246" t="s">
        <v>28</v>
      </c>
      <c r="I246" t="s">
        <v>896</v>
      </c>
    </row>
    <row r="247" spans="1:9" ht="11.25" customHeight="1">
      <c r="A247" t="s">
        <v>2248</v>
      </c>
      <c r="B247" t="s">
        <v>16</v>
      </c>
      <c r="C247" t="s">
        <v>2854</v>
      </c>
      <c r="D247" t="s">
        <v>2855</v>
      </c>
      <c r="E247" t="s">
        <v>2303</v>
      </c>
      <c r="F247" t="s">
        <v>2856</v>
      </c>
      <c r="G247" t="s">
        <v>28</v>
      </c>
      <c r="H247" t="s">
        <v>28</v>
      </c>
      <c r="I247" t="s">
        <v>896</v>
      </c>
    </row>
    <row r="248" spans="1:9" ht="11.25" customHeight="1">
      <c r="A248" t="s">
        <v>2248</v>
      </c>
      <c r="B248" t="s">
        <v>16</v>
      </c>
      <c r="C248" t="s">
        <v>2857</v>
      </c>
      <c r="D248" t="s">
        <v>2858</v>
      </c>
      <c r="E248" t="s">
        <v>2609</v>
      </c>
      <c r="F248" t="s">
        <v>2859</v>
      </c>
      <c r="G248" t="s">
        <v>28</v>
      </c>
      <c r="H248" t="s">
        <v>28</v>
      </c>
      <c r="I248" t="s">
        <v>896</v>
      </c>
    </row>
    <row r="249" spans="1:9" ht="11.25" customHeight="1">
      <c r="A249" t="s">
        <v>2248</v>
      </c>
      <c r="B249" t="s">
        <v>16</v>
      </c>
      <c r="C249" t="s">
        <v>2870</v>
      </c>
      <c r="D249" t="s">
        <v>2871</v>
      </c>
      <c r="E249" t="s">
        <v>2872</v>
      </c>
      <c r="F249" t="s">
        <v>2491</v>
      </c>
      <c r="G249" t="s">
        <v>28</v>
      </c>
      <c r="H249" t="s">
        <v>28</v>
      </c>
      <c r="I249" t="s">
        <v>896</v>
      </c>
    </row>
    <row r="250" spans="1:9" ht="11.25" customHeight="1">
      <c r="A250" t="s">
        <v>2248</v>
      </c>
      <c r="B250" t="s">
        <v>16</v>
      </c>
      <c r="C250" t="s">
        <v>2873</v>
      </c>
      <c r="D250" t="s">
        <v>2874</v>
      </c>
      <c r="E250" t="s">
        <v>2875</v>
      </c>
      <c r="F250" t="s">
        <v>53</v>
      </c>
      <c r="G250" t="s">
        <v>28</v>
      </c>
      <c r="H250" t="s">
        <v>28</v>
      </c>
      <c r="I250" t="s">
        <v>896</v>
      </c>
    </row>
    <row r="251" spans="1:9" ht="11.25" customHeight="1">
      <c r="A251" t="s">
        <v>2248</v>
      </c>
      <c r="B251" t="s">
        <v>16</v>
      </c>
      <c r="C251" t="s">
        <v>2253</v>
      </c>
      <c r="D251" t="s">
        <v>2254</v>
      </c>
      <c r="E251" t="s">
        <v>2255</v>
      </c>
      <c r="F251" t="s">
        <v>2256</v>
      </c>
      <c r="G251" t="s">
        <v>28</v>
      </c>
      <c r="H251" t="s">
        <v>28</v>
      </c>
      <c r="I251" t="s">
        <v>856</v>
      </c>
    </row>
    <row r="252" spans="1:9" ht="11.25" customHeight="1">
      <c r="A252" t="s">
        <v>2248</v>
      </c>
      <c r="B252" t="s">
        <v>16</v>
      </c>
      <c r="C252" t="s">
        <v>2257</v>
      </c>
      <c r="D252" t="s">
        <v>2258</v>
      </c>
      <c r="E252" t="s">
        <v>2259</v>
      </c>
      <c r="F252" t="s">
        <v>2260</v>
      </c>
      <c r="G252" t="s">
        <v>28</v>
      </c>
      <c r="H252" t="s">
        <v>28</v>
      </c>
      <c r="I252" t="s">
        <v>856</v>
      </c>
    </row>
    <row r="253" spans="1:9" ht="11.25" customHeight="1">
      <c r="A253" t="s">
        <v>2248</v>
      </c>
      <c r="B253" t="s">
        <v>16</v>
      </c>
      <c r="C253" t="s">
        <v>2268</v>
      </c>
      <c r="D253" t="s">
        <v>2269</v>
      </c>
      <c r="E253" t="s">
        <v>2270</v>
      </c>
      <c r="F253" t="s">
        <v>2271</v>
      </c>
      <c r="G253" t="s">
        <v>2272</v>
      </c>
      <c r="H253" t="s">
        <v>28</v>
      </c>
      <c r="I253" t="s">
        <v>856</v>
      </c>
    </row>
    <row r="254" spans="1:9" ht="11.25" customHeight="1">
      <c r="A254" t="s">
        <v>2248</v>
      </c>
      <c r="B254" t="s">
        <v>16</v>
      </c>
      <c r="C254" t="s">
        <v>2879</v>
      </c>
      <c r="D254" t="s">
        <v>2880</v>
      </c>
      <c r="E254" t="s">
        <v>2881</v>
      </c>
      <c r="F254" t="s">
        <v>2315</v>
      </c>
      <c r="G254" t="s">
        <v>2882</v>
      </c>
      <c r="H254" t="s">
        <v>28</v>
      </c>
      <c r="I254" t="s">
        <v>856</v>
      </c>
    </row>
    <row r="255" spans="1:9" ht="11.25" customHeight="1">
      <c r="A255" t="s">
        <v>2248</v>
      </c>
      <c r="B255" t="s">
        <v>16</v>
      </c>
      <c r="C255" t="s">
        <v>2883</v>
      </c>
      <c r="D255" t="s">
        <v>2278</v>
      </c>
      <c r="E255" t="s">
        <v>2279</v>
      </c>
      <c r="F255" t="s">
        <v>2884</v>
      </c>
      <c r="G255" t="s">
        <v>2885</v>
      </c>
      <c r="H255" t="s">
        <v>28</v>
      </c>
      <c r="I255" t="s">
        <v>856</v>
      </c>
    </row>
    <row r="256" spans="1:9" ht="11.25" customHeight="1">
      <c r="A256" t="s">
        <v>2248</v>
      </c>
      <c r="B256" t="s">
        <v>16</v>
      </c>
      <c r="C256" t="s">
        <v>2277</v>
      </c>
      <c r="D256" t="s">
        <v>2278</v>
      </c>
      <c r="E256" t="s">
        <v>2279</v>
      </c>
      <c r="F256" t="s">
        <v>2280</v>
      </c>
      <c r="G256" t="s">
        <v>28</v>
      </c>
      <c r="H256" t="s">
        <v>28</v>
      </c>
      <c r="I256" t="s">
        <v>856</v>
      </c>
    </row>
    <row r="257" spans="1:9" ht="11.25" customHeight="1">
      <c r="A257" t="s">
        <v>2248</v>
      </c>
      <c r="B257" t="s">
        <v>16</v>
      </c>
      <c r="C257" t="s">
        <v>2281</v>
      </c>
      <c r="D257" t="s">
        <v>2282</v>
      </c>
      <c r="E257" t="s">
        <v>2283</v>
      </c>
      <c r="F257" t="s">
        <v>2284</v>
      </c>
      <c r="G257" t="s">
        <v>2285</v>
      </c>
      <c r="H257" t="s">
        <v>28</v>
      </c>
      <c r="I257" t="s">
        <v>856</v>
      </c>
    </row>
    <row r="258" spans="1:9" ht="11.25" customHeight="1">
      <c r="A258" t="s">
        <v>2248</v>
      </c>
      <c r="B258" t="s">
        <v>16</v>
      </c>
      <c r="C258" t="s">
        <v>2296</v>
      </c>
      <c r="D258" t="s">
        <v>2297</v>
      </c>
      <c r="E258" t="s">
        <v>2298</v>
      </c>
      <c r="F258" t="s">
        <v>2299</v>
      </c>
      <c r="G258" t="s">
        <v>2300</v>
      </c>
      <c r="H258" t="s">
        <v>28</v>
      </c>
      <c r="I258" t="s">
        <v>856</v>
      </c>
    </row>
    <row r="259" spans="1:9" ht="11.25" customHeight="1">
      <c r="A259" t="s">
        <v>2248</v>
      </c>
      <c r="B259" t="s">
        <v>16</v>
      </c>
      <c r="C259" t="s">
        <v>2301</v>
      </c>
      <c r="D259" t="s">
        <v>2302</v>
      </c>
      <c r="E259" t="s">
        <v>2303</v>
      </c>
      <c r="F259" t="s">
        <v>2284</v>
      </c>
      <c r="G259" t="s">
        <v>28</v>
      </c>
      <c r="H259" t="s">
        <v>28</v>
      </c>
      <c r="I259" t="s">
        <v>856</v>
      </c>
    </row>
    <row r="260" spans="1:9" ht="11.25" customHeight="1">
      <c r="A260" t="s">
        <v>2248</v>
      </c>
      <c r="B260" t="s">
        <v>16</v>
      </c>
      <c r="C260" t="s">
        <v>2304</v>
      </c>
      <c r="D260" t="s">
        <v>2305</v>
      </c>
      <c r="E260" t="s">
        <v>2306</v>
      </c>
      <c r="F260" t="s">
        <v>2307</v>
      </c>
      <c r="G260" t="s">
        <v>28</v>
      </c>
      <c r="H260" t="s">
        <v>28</v>
      </c>
      <c r="I260" t="s">
        <v>856</v>
      </c>
    </row>
    <row r="261" spans="1:9" ht="11.25" customHeight="1">
      <c r="A261" t="s">
        <v>2248</v>
      </c>
      <c r="B261" t="s">
        <v>16</v>
      </c>
      <c r="C261" t="s">
        <v>2886</v>
      </c>
      <c r="D261" t="s">
        <v>2887</v>
      </c>
      <c r="E261" t="s">
        <v>2888</v>
      </c>
      <c r="F261" t="s">
        <v>2414</v>
      </c>
      <c r="G261" t="s">
        <v>2889</v>
      </c>
      <c r="H261" t="s">
        <v>28</v>
      </c>
      <c r="I261" t="s">
        <v>856</v>
      </c>
    </row>
    <row r="262" spans="1:9" ht="11.25" customHeight="1">
      <c r="A262" t="s">
        <v>2248</v>
      </c>
      <c r="B262" t="s">
        <v>16</v>
      </c>
      <c r="C262" t="s">
        <v>2890</v>
      </c>
      <c r="D262" t="s">
        <v>2891</v>
      </c>
      <c r="E262" t="s">
        <v>2892</v>
      </c>
      <c r="F262" t="s">
        <v>2323</v>
      </c>
      <c r="G262" t="s">
        <v>28</v>
      </c>
      <c r="H262" t="s">
        <v>28</v>
      </c>
      <c r="I262" t="s">
        <v>856</v>
      </c>
    </row>
    <row r="263" spans="1:9" ht="11.25" customHeight="1">
      <c r="A263" t="s">
        <v>2248</v>
      </c>
      <c r="B263" t="s">
        <v>16</v>
      </c>
      <c r="C263" t="s">
        <v>2324</v>
      </c>
      <c r="D263" t="s">
        <v>2325</v>
      </c>
      <c r="E263" t="s">
        <v>2326</v>
      </c>
      <c r="F263" t="s">
        <v>2276</v>
      </c>
      <c r="G263" t="s">
        <v>2327</v>
      </c>
      <c r="H263" t="s">
        <v>28</v>
      </c>
      <c r="I263" t="s">
        <v>856</v>
      </c>
    </row>
    <row r="264" spans="1:9" ht="11.25" customHeight="1">
      <c r="A264" t="s">
        <v>2248</v>
      </c>
      <c r="B264" t="s">
        <v>16</v>
      </c>
      <c r="C264" t="s">
        <v>13</v>
      </c>
      <c r="D264" t="s">
        <v>48</v>
      </c>
      <c r="E264" t="s">
        <v>51</v>
      </c>
      <c r="F264" t="s">
        <v>53</v>
      </c>
      <c r="G264" t="s">
        <v>28</v>
      </c>
      <c r="H264" t="s">
        <v>28</v>
      </c>
      <c r="I264" t="s">
        <v>856</v>
      </c>
    </row>
    <row r="265" spans="1:9" ht="11.25" customHeight="1">
      <c r="A265" t="s">
        <v>2248</v>
      </c>
      <c r="B265" t="s">
        <v>16</v>
      </c>
      <c r="C265" t="s">
        <v>2332</v>
      </c>
      <c r="D265" t="s">
        <v>2333</v>
      </c>
      <c r="E265" t="s">
        <v>2334</v>
      </c>
      <c r="F265" t="s">
        <v>2289</v>
      </c>
      <c r="G265" t="s">
        <v>2335</v>
      </c>
      <c r="H265" t="s">
        <v>28</v>
      </c>
      <c r="I265" t="s">
        <v>856</v>
      </c>
    </row>
    <row r="266" spans="1:9" ht="11.25" customHeight="1">
      <c r="A266" t="s">
        <v>2248</v>
      </c>
      <c r="B266" t="s">
        <v>16</v>
      </c>
      <c r="C266" t="s">
        <v>2352</v>
      </c>
      <c r="D266" t="s">
        <v>2353</v>
      </c>
      <c r="E266" t="s">
        <v>2354</v>
      </c>
      <c r="F266" t="s">
        <v>2355</v>
      </c>
      <c r="G266" t="s">
        <v>2356</v>
      </c>
      <c r="H266" t="s">
        <v>28</v>
      </c>
      <c r="I266" t="s">
        <v>856</v>
      </c>
    </row>
    <row r="267" spans="1:9" ht="11.25" customHeight="1">
      <c r="A267" t="s">
        <v>2248</v>
      </c>
      <c r="B267" t="s">
        <v>16</v>
      </c>
      <c r="C267" t="s">
        <v>2364</v>
      </c>
      <c r="D267" t="s">
        <v>2365</v>
      </c>
      <c r="E267" t="s">
        <v>2366</v>
      </c>
      <c r="F267" t="s">
        <v>2367</v>
      </c>
      <c r="G267" t="s">
        <v>28</v>
      </c>
      <c r="H267" t="s">
        <v>28</v>
      </c>
      <c r="I267" t="s">
        <v>856</v>
      </c>
    </row>
    <row r="268" spans="1:9" ht="11.25" customHeight="1">
      <c r="A268" t="s">
        <v>2248</v>
      </c>
      <c r="B268" t="s">
        <v>16</v>
      </c>
      <c r="C268" t="s">
        <v>2376</v>
      </c>
      <c r="D268" t="s">
        <v>2377</v>
      </c>
      <c r="E268" t="s">
        <v>2378</v>
      </c>
      <c r="F268" t="s">
        <v>2379</v>
      </c>
      <c r="G268" t="s">
        <v>2380</v>
      </c>
      <c r="H268" t="s">
        <v>28</v>
      </c>
      <c r="I268" t="s">
        <v>856</v>
      </c>
    </row>
    <row r="269" spans="1:9" ht="11.25" customHeight="1">
      <c r="A269" t="s">
        <v>2248</v>
      </c>
      <c r="B269" t="s">
        <v>16</v>
      </c>
      <c r="C269" t="s">
        <v>2893</v>
      </c>
      <c r="D269" t="s">
        <v>2894</v>
      </c>
      <c r="E269" t="s">
        <v>2338</v>
      </c>
      <c r="F269" t="s">
        <v>2284</v>
      </c>
      <c r="G269" t="s">
        <v>2895</v>
      </c>
      <c r="H269" t="s">
        <v>28</v>
      </c>
      <c r="I269" t="s">
        <v>856</v>
      </c>
    </row>
    <row r="270" spans="1:9" ht="11.25" customHeight="1">
      <c r="A270" t="s">
        <v>2248</v>
      </c>
      <c r="B270" t="s">
        <v>16</v>
      </c>
      <c r="C270" t="s">
        <v>2394</v>
      </c>
      <c r="D270" t="s">
        <v>2395</v>
      </c>
      <c r="E270" t="s">
        <v>2396</v>
      </c>
      <c r="F270" t="s">
        <v>2397</v>
      </c>
      <c r="G270" t="s">
        <v>28</v>
      </c>
      <c r="H270" t="s">
        <v>28</v>
      </c>
      <c r="I270" t="s">
        <v>856</v>
      </c>
    </row>
    <row r="271" spans="1:9" ht="11.25" customHeight="1">
      <c r="A271" t="s">
        <v>2248</v>
      </c>
      <c r="B271" t="s">
        <v>16</v>
      </c>
      <c r="C271" t="s">
        <v>2406</v>
      </c>
      <c r="D271" t="s">
        <v>2407</v>
      </c>
      <c r="E271" t="s">
        <v>2408</v>
      </c>
      <c r="F271" t="s">
        <v>2409</v>
      </c>
      <c r="G271" t="s">
        <v>2410</v>
      </c>
      <c r="H271" t="s">
        <v>28</v>
      </c>
      <c r="I271" t="s">
        <v>856</v>
      </c>
    </row>
    <row r="272" spans="1:9" ht="11.25" customHeight="1">
      <c r="A272" t="s">
        <v>2248</v>
      </c>
      <c r="B272" t="s">
        <v>16</v>
      </c>
      <c r="C272" t="s">
        <v>2415</v>
      </c>
      <c r="D272" t="s">
        <v>2416</v>
      </c>
      <c r="E272" t="s">
        <v>2417</v>
      </c>
      <c r="F272" t="s">
        <v>2409</v>
      </c>
      <c r="G272" t="s">
        <v>2418</v>
      </c>
      <c r="H272" t="s">
        <v>28</v>
      </c>
      <c r="I272" t="s">
        <v>856</v>
      </c>
    </row>
    <row r="273" spans="1:9" ht="11.25" customHeight="1">
      <c r="A273" t="s">
        <v>2248</v>
      </c>
      <c r="B273" t="s">
        <v>16</v>
      </c>
      <c r="C273" t="s">
        <v>2896</v>
      </c>
      <c r="D273" t="s">
        <v>2897</v>
      </c>
      <c r="E273" t="s">
        <v>2898</v>
      </c>
      <c r="F273" t="s">
        <v>53</v>
      </c>
      <c r="G273" t="s">
        <v>28</v>
      </c>
      <c r="H273" t="s">
        <v>28</v>
      </c>
      <c r="I273" t="s">
        <v>856</v>
      </c>
    </row>
    <row r="274" spans="1:9" ht="11.25" customHeight="1">
      <c r="A274" t="s">
        <v>2248</v>
      </c>
      <c r="B274" t="s">
        <v>16</v>
      </c>
      <c r="C274" t="s">
        <v>2419</v>
      </c>
      <c r="D274" t="s">
        <v>2420</v>
      </c>
      <c r="E274" t="s">
        <v>2421</v>
      </c>
      <c r="F274" t="s">
        <v>2271</v>
      </c>
      <c r="G274" t="s">
        <v>28</v>
      </c>
      <c r="H274" t="s">
        <v>28</v>
      </c>
      <c r="I274" t="s">
        <v>856</v>
      </c>
    </row>
    <row r="275" spans="1:9" ht="11.25" customHeight="1">
      <c r="A275" t="s">
        <v>2248</v>
      </c>
      <c r="B275" t="s">
        <v>16</v>
      </c>
      <c r="C275" t="s">
        <v>2422</v>
      </c>
      <c r="D275" t="s">
        <v>2423</v>
      </c>
      <c r="E275" t="s">
        <v>2424</v>
      </c>
      <c r="F275" t="s">
        <v>2271</v>
      </c>
      <c r="G275" t="s">
        <v>28</v>
      </c>
      <c r="H275" t="s">
        <v>28</v>
      </c>
      <c r="I275" t="s">
        <v>856</v>
      </c>
    </row>
    <row r="276" spans="1:9" ht="11.25" customHeight="1">
      <c r="A276" t="s">
        <v>2248</v>
      </c>
      <c r="B276" t="s">
        <v>16</v>
      </c>
      <c r="C276" t="s">
        <v>2425</v>
      </c>
      <c r="D276" t="s">
        <v>2426</v>
      </c>
      <c r="E276" t="s">
        <v>2427</v>
      </c>
      <c r="F276" t="s">
        <v>2299</v>
      </c>
      <c r="G276" t="s">
        <v>28</v>
      </c>
      <c r="H276" t="s">
        <v>28</v>
      </c>
      <c r="I276" t="s">
        <v>856</v>
      </c>
    </row>
    <row r="277" spans="1:9" ht="11.25" customHeight="1">
      <c r="A277" t="s">
        <v>2248</v>
      </c>
      <c r="B277" t="s">
        <v>16</v>
      </c>
      <c r="C277" t="s">
        <v>2428</v>
      </c>
      <c r="D277" t="s">
        <v>2429</v>
      </c>
      <c r="E277" t="s">
        <v>2430</v>
      </c>
      <c r="F277" t="s">
        <v>2431</v>
      </c>
      <c r="G277" t="s">
        <v>2432</v>
      </c>
      <c r="H277" t="s">
        <v>28</v>
      </c>
      <c r="I277" t="s">
        <v>856</v>
      </c>
    </row>
    <row r="278" spans="1:9" ht="11.25" customHeight="1">
      <c r="A278" t="s">
        <v>2248</v>
      </c>
      <c r="B278" t="s">
        <v>16</v>
      </c>
      <c r="C278" t="s">
        <v>2433</v>
      </c>
      <c r="D278" t="s">
        <v>2434</v>
      </c>
      <c r="E278" t="s">
        <v>2435</v>
      </c>
      <c r="F278" t="s">
        <v>2431</v>
      </c>
      <c r="G278" t="s">
        <v>2436</v>
      </c>
      <c r="H278" t="s">
        <v>28</v>
      </c>
      <c r="I278" t="s">
        <v>856</v>
      </c>
    </row>
    <row r="279" spans="1:9" ht="11.25" customHeight="1">
      <c r="A279" t="s">
        <v>2248</v>
      </c>
      <c r="B279" t="s">
        <v>16</v>
      </c>
      <c r="C279" t="s">
        <v>2440</v>
      </c>
      <c r="D279" t="s">
        <v>2441</v>
      </c>
      <c r="E279" t="s">
        <v>2442</v>
      </c>
      <c r="F279" t="s">
        <v>2307</v>
      </c>
      <c r="G279" t="s">
        <v>28</v>
      </c>
      <c r="H279" t="s">
        <v>28</v>
      </c>
      <c r="I279" t="s">
        <v>856</v>
      </c>
    </row>
    <row r="280" spans="1:9" ht="11.25" customHeight="1">
      <c r="A280" t="s">
        <v>2248</v>
      </c>
      <c r="B280" t="s">
        <v>16</v>
      </c>
      <c r="C280" t="s">
        <v>2443</v>
      </c>
      <c r="D280" t="s">
        <v>2444</v>
      </c>
      <c r="E280" t="s">
        <v>2445</v>
      </c>
      <c r="F280" t="s">
        <v>2299</v>
      </c>
      <c r="G280" t="s">
        <v>2446</v>
      </c>
      <c r="H280" t="s">
        <v>28</v>
      </c>
      <c r="I280" t="s">
        <v>856</v>
      </c>
    </row>
    <row r="281" spans="1:9" ht="11.25" customHeight="1">
      <c r="A281" t="s">
        <v>2248</v>
      </c>
      <c r="B281" t="s">
        <v>16</v>
      </c>
      <c r="C281" t="s">
        <v>2447</v>
      </c>
      <c r="D281" t="s">
        <v>2448</v>
      </c>
      <c r="E281" t="s">
        <v>2449</v>
      </c>
      <c r="F281" t="s">
        <v>2299</v>
      </c>
      <c r="G281" t="s">
        <v>2450</v>
      </c>
      <c r="H281" t="s">
        <v>28</v>
      </c>
      <c r="I281" t="s">
        <v>856</v>
      </c>
    </row>
    <row r="282" spans="1:9" ht="11.25" customHeight="1">
      <c r="A282" t="s">
        <v>2248</v>
      </c>
      <c r="B282" t="s">
        <v>16</v>
      </c>
      <c r="C282" t="s">
        <v>2459</v>
      </c>
      <c r="D282" t="s">
        <v>2460</v>
      </c>
      <c r="E282" t="s">
        <v>2461</v>
      </c>
      <c r="F282" t="s">
        <v>2284</v>
      </c>
      <c r="G282" t="s">
        <v>2462</v>
      </c>
      <c r="H282" t="s">
        <v>28</v>
      </c>
      <c r="I282" t="s">
        <v>856</v>
      </c>
    </row>
    <row r="283" spans="1:9" ht="11.25" customHeight="1">
      <c r="A283" t="s">
        <v>2248</v>
      </c>
      <c r="B283" t="s">
        <v>16</v>
      </c>
      <c r="C283" t="s">
        <v>2463</v>
      </c>
      <c r="D283" t="s">
        <v>2464</v>
      </c>
      <c r="E283" t="s">
        <v>2465</v>
      </c>
      <c r="F283" t="s">
        <v>2466</v>
      </c>
      <c r="G283" t="s">
        <v>28</v>
      </c>
      <c r="H283" t="s">
        <v>28</v>
      </c>
      <c r="I283" t="s">
        <v>856</v>
      </c>
    </row>
    <row r="284" spans="1:9" ht="11.25" customHeight="1">
      <c r="A284" t="s">
        <v>2248</v>
      </c>
      <c r="B284" t="s">
        <v>16</v>
      </c>
      <c r="C284" t="s">
        <v>2467</v>
      </c>
      <c r="D284" t="s">
        <v>2468</v>
      </c>
      <c r="E284" t="s">
        <v>2469</v>
      </c>
      <c r="F284" t="s">
        <v>2409</v>
      </c>
      <c r="G284" t="s">
        <v>28</v>
      </c>
      <c r="H284" t="s">
        <v>28</v>
      </c>
      <c r="I284" t="s">
        <v>856</v>
      </c>
    </row>
    <row r="285" spans="1:9" ht="11.25" customHeight="1">
      <c r="A285" t="s">
        <v>2248</v>
      </c>
      <c r="B285" t="s">
        <v>16</v>
      </c>
      <c r="C285" t="s">
        <v>2470</v>
      </c>
      <c r="D285" t="s">
        <v>2471</v>
      </c>
      <c r="E285" t="s">
        <v>2472</v>
      </c>
      <c r="F285" t="s">
        <v>2473</v>
      </c>
      <c r="G285" t="s">
        <v>28</v>
      </c>
      <c r="H285" t="s">
        <v>28</v>
      </c>
      <c r="I285" t="s">
        <v>856</v>
      </c>
    </row>
    <row r="286" spans="1:9" ht="11.25" customHeight="1">
      <c r="A286" t="s">
        <v>2248</v>
      </c>
      <c r="B286" t="s">
        <v>16</v>
      </c>
      <c r="C286" t="s">
        <v>2474</v>
      </c>
      <c r="D286" t="s">
        <v>2475</v>
      </c>
      <c r="E286" t="s">
        <v>2476</v>
      </c>
      <c r="F286" t="s">
        <v>2409</v>
      </c>
      <c r="G286" t="s">
        <v>28</v>
      </c>
      <c r="H286" t="s">
        <v>28</v>
      </c>
      <c r="I286" t="s">
        <v>856</v>
      </c>
    </row>
    <row r="287" spans="1:9" ht="11.25" customHeight="1">
      <c r="A287" t="s">
        <v>2248</v>
      </c>
      <c r="B287" t="s">
        <v>16</v>
      </c>
      <c r="C287" t="s">
        <v>2477</v>
      </c>
      <c r="D287" t="s">
        <v>2478</v>
      </c>
      <c r="E287" t="s">
        <v>2479</v>
      </c>
      <c r="F287" t="s">
        <v>2480</v>
      </c>
      <c r="G287" t="s">
        <v>28</v>
      </c>
      <c r="H287" t="s">
        <v>28</v>
      </c>
      <c r="I287" t="s">
        <v>856</v>
      </c>
    </row>
    <row r="288" spans="1:9" ht="11.25" customHeight="1">
      <c r="A288" t="s">
        <v>2248</v>
      </c>
      <c r="B288" t="s">
        <v>16</v>
      </c>
      <c r="C288" t="s">
        <v>2481</v>
      </c>
      <c r="D288" t="s">
        <v>2482</v>
      </c>
      <c r="E288" t="s">
        <v>2483</v>
      </c>
      <c r="F288" t="s">
        <v>2256</v>
      </c>
      <c r="G288" t="s">
        <v>2484</v>
      </c>
      <c r="H288" t="s">
        <v>28</v>
      </c>
      <c r="I288" t="s">
        <v>856</v>
      </c>
    </row>
    <row r="289" spans="1:9" ht="11.25" customHeight="1">
      <c r="A289" t="s">
        <v>2248</v>
      </c>
      <c r="B289" t="s">
        <v>16</v>
      </c>
      <c r="C289" t="s">
        <v>2485</v>
      </c>
      <c r="D289" t="s">
        <v>2486</v>
      </c>
      <c r="E289" t="s">
        <v>2487</v>
      </c>
      <c r="F289" t="s">
        <v>2256</v>
      </c>
      <c r="G289" t="s">
        <v>28</v>
      </c>
      <c r="H289" t="s">
        <v>28</v>
      </c>
      <c r="I289" t="s">
        <v>856</v>
      </c>
    </row>
    <row r="290" spans="1:9" ht="11.25" customHeight="1">
      <c r="A290" t="s">
        <v>2248</v>
      </c>
      <c r="B290" t="s">
        <v>16</v>
      </c>
      <c r="C290" t="s">
        <v>2488</v>
      </c>
      <c r="D290" t="s">
        <v>2489</v>
      </c>
      <c r="E290" t="s">
        <v>2490</v>
      </c>
      <c r="F290" t="s">
        <v>2491</v>
      </c>
      <c r="G290" t="s">
        <v>28</v>
      </c>
      <c r="H290" t="s">
        <v>28</v>
      </c>
      <c r="I290" t="s">
        <v>856</v>
      </c>
    </row>
    <row r="291" spans="1:9" ht="11.25" customHeight="1">
      <c r="A291" t="s">
        <v>2248</v>
      </c>
      <c r="B291" t="s">
        <v>16</v>
      </c>
      <c r="C291" t="s">
        <v>2492</v>
      </c>
      <c r="D291" t="s">
        <v>2493</v>
      </c>
      <c r="E291" t="s">
        <v>2494</v>
      </c>
      <c r="F291" t="s">
        <v>2256</v>
      </c>
      <c r="G291" t="s">
        <v>2495</v>
      </c>
      <c r="H291" t="s">
        <v>28</v>
      </c>
      <c r="I291" t="s">
        <v>856</v>
      </c>
    </row>
    <row r="292" spans="1:9" ht="11.25" customHeight="1">
      <c r="A292" t="s">
        <v>2248</v>
      </c>
      <c r="B292" t="s">
        <v>16</v>
      </c>
      <c r="C292" t="s">
        <v>2500</v>
      </c>
      <c r="D292" t="s">
        <v>2501</v>
      </c>
      <c r="E292" t="s">
        <v>2502</v>
      </c>
      <c r="F292" t="s">
        <v>2256</v>
      </c>
      <c r="G292" t="s">
        <v>2495</v>
      </c>
      <c r="H292" t="s">
        <v>28</v>
      </c>
      <c r="I292" t="s">
        <v>856</v>
      </c>
    </row>
    <row r="293" spans="1:9" ht="11.25" customHeight="1">
      <c r="A293" t="s">
        <v>2248</v>
      </c>
      <c r="B293" t="s">
        <v>16</v>
      </c>
      <c r="C293" t="s">
        <v>2503</v>
      </c>
      <c r="D293" t="s">
        <v>2504</v>
      </c>
      <c r="E293" t="s">
        <v>2505</v>
      </c>
      <c r="F293" t="s">
        <v>2307</v>
      </c>
      <c r="G293" t="s">
        <v>2506</v>
      </c>
      <c r="H293" t="s">
        <v>28</v>
      </c>
      <c r="I293" t="s">
        <v>856</v>
      </c>
    </row>
    <row r="294" spans="1:9" ht="11.25" customHeight="1">
      <c r="A294" t="s">
        <v>2248</v>
      </c>
      <c r="B294" t="s">
        <v>16</v>
      </c>
      <c r="C294" t="s">
        <v>2507</v>
      </c>
      <c r="D294" t="s">
        <v>2508</v>
      </c>
      <c r="E294" t="s">
        <v>2509</v>
      </c>
      <c r="F294" t="s">
        <v>2276</v>
      </c>
      <c r="G294" t="s">
        <v>2510</v>
      </c>
      <c r="H294" t="s">
        <v>28</v>
      </c>
      <c r="I294" t="s">
        <v>856</v>
      </c>
    </row>
    <row r="295" spans="1:9" ht="11.25" customHeight="1">
      <c r="A295" t="s">
        <v>2248</v>
      </c>
      <c r="B295" t="s">
        <v>16</v>
      </c>
      <c r="C295" t="s">
        <v>2511</v>
      </c>
      <c r="D295" t="s">
        <v>2512</v>
      </c>
      <c r="E295" t="s">
        <v>2513</v>
      </c>
      <c r="F295" t="s">
        <v>2256</v>
      </c>
      <c r="G295" t="s">
        <v>2514</v>
      </c>
      <c r="H295" t="s">
        <v>28</v>
      </c>
      <c r="I295" t="s">
        <v>856</v>
      </c>
    </row>
    <row r="296" spans="1:9" ht="11.25" customHeight="1">
      <c r="A296" t="s">
        <v>2248</v>
      </c>
      <c r="B296" t="s">
        <v>16</v>
      </c>
      <c r="C296" t="s">
        <v>2515</v>
      </c>
      <c r="D296" t="s">
        <v>2516</v>
      </c>
      <c r="E296" t="s">
        <v>2517</v>
      </c>
      <c r="F296" t="s">
        <v>2473</v>
      </c>
      <c r="G296" t="s">
        <v>28</v>
      </c>
      <c r="H296" t="s">
        <v>28</v>
      </c>
      <c r="I296" t="s">
        <v>856</v>
      </c>
    </row>
    <row r="297" spans="1:9" ht="11.25" customHeight="1">
      <c r="A297" t="s">
        <v>2248</v>
      </c>
      <c r="B297" t="s">
        <v>16</v>
      </c>
      <c r="C297" t="s">
        <v>2532</v>
      </c>
      <c r="D297" t="s">
        <v>2533</v>
      </c>
      <c r="E297" t="s">
        <v>2534</v>
      </c>
      <c r="F297" t="s">
        <v>2414</v>
      </c>
      <c r="G297" t="s">
        <v>28</v>
      </c>
      <c r="H297" t="s">
        <v>28</v>
      </c>
      <c r="I297" t="s">
        <v>856</v>
      </c>
    </row>
    <row r="298" spans="1:9" ht="11.25" customHeight="1">
      <c r="A298" t="s">
        <v>2248</v>
      </c>
      <c r="B298" t="s">
        <v>16</v>
      </c>
      <c r="C298" t="s">
        <v>2899</v>
      </c>
      <c r="D298" t="s">
        <v>2900</v>
      </c>
      <c r="E298" t="s">
        <v>2378</v>
      </c>
      <c r="F298" t="s">
        <v>2901</v>
      </c>
      <c r="G298" t="s">
        <v>28</v>
      </c>
      <c r="H298" t="s">
        <v>28</v>
      </c>
      <c r="I298" t="s">
        <v>856</v>
      </c>
    </row>
    <row r="299" spans="1:9" ht="11.25" customHeight="1">
      <c r="A299" t="s">
        <v>2248</v>
      </c>
      <c r="B299" t="s">
        <v>16</v>
      </c>
      <c r="C299" t="s">
        <v>2902</v>
      </c>
      <c r="D299" t="s">
        <v>2903</v>
      </c>
      <c r="E299" t="s">
        <v>2904</v>
      </c>
      <c r="F299" t="s">
        <v>2311</v>
      </c>
      <c r="G299" t="s">
        <v>2905</v>
      </c>
      <c r="H299" t="s">
        <v>28</v>
      </c>
      <c r="I299" t="s">
        <v>856</v>
      </c>
    </row>
    <row r="300" spans="1:9" ht="11.25" customHeight="1">
      <c r="A300" t="s">
        <v>2248</v>
      </c>
      <c r="B300" t="s">
        <v>16</v>
      </c>
      <c r="C300" t="s">
        <v>2545</v>
      </c>
      <c r="D300" t="s">
        <v>2546</v>
      </c>
      <c r="E300" t="s">
        <v>2547</v>
      </c>
      <c r="F300" t="s">
        <v>2491</v>
      </c>
      <c r="G300" t="s">
        <v>2548</v>
      </c>
      <c r="H300" t="s">
        <v>28</v>
      </c>
      <c r="I300" t="s">
        <v>856</v>
      </c>
    </row>
    <row r="301" spans="1:9" ht="11.25" customHeight="1">
      <c r="A301" t="s">
        <v>2248</v>
      </c>
      <c r="B301" t="s">
        <v>16</v>
      </c>
      <c r="C301" t="s">
        <v>2549</v>
      </c>
      <c r="D301" t="s">
        <v>2550</v>
      </c>
      <c r="E301" t="s">
        <v>2551</v>
      </c>
      <c r="F301" t="s">
        <v>2552</v>
      </c>
      <c r="G301" t="s">
        <v>2553</v>
      </c>
      <c r="H301" t="s">
        <v>28</v>
      </c>
      <c r="I301" t="s">
        <v>856</v>
      </c>
    </row>
    <row r="302" spans="1:9" ht="11.25" customHeight="1">
      <c r="A302" t="s">
        <v>2248</v>
      </c>
      <c r="B302" t="s">
        <v>16</v>
      </c>
      <c r="C302" t="s">
        <v>2554</v>
      </c>
      <c r="D302" t="s">
        <v>2550</v>
      </c>
      <c r="E302" t="s">
        <v>2551</v>
      </c>
      <c r="F302" t="s">
        <v>2555</v>
      </c>
      <c r="G302" t="s">
        <v>28</v>
      </c>
      <c r="H302" t="s">
        <v>28</v>
      </c>
      <c r="I302" t="s">
        <v>856</v>
      </c>
    </row>
    <row r="303" spans="1:9" ht="11.25" customHeight="1">
      <c r="A303" t="s">
        <v>2248</v>
      </c>
      <c r="B303" t="s">
        <v>16</v>
      </c>
      <c r="C303" t="s">
        <v>2559</v>
      </c>
      <c r="D303" t="s">
        <v>2560</v>
      </c>
      <c r="E303" t="s">
        <v>2251</v>
      </c>
      <c r="F303" t="s">
        <v>2561</v>
      </c>
      <c r="G303" t="s">
        <v>28</v>
      </c>
      <c r="H303" t="s">
        <v>28</v>
      </c>
      <c r="I303" t="s">
        <v>856</v>
      </c>
    </row>
    <row r="304" spans="1:9" ht="11.25" customHeight="1">
      <c r="A304" t="s">
        <v>2248</v>
      </c>
      <c r="B304" t="s">
        <v>16</v>
      </c>
      <c r="C304" t="s">
        <v>2562</v>
      </c>
      <c r="D304" t="s">
        <v>2563</v>
      </c>
      <c r="E304" t="s">
        <v>2251</v>
      </c>
      <c r="F304" t="s">
        <v>2564</v>
      </c>
      <c r="G304" t="s">
        <v>28</v>
      </c>
      <c r="H304" t="s">
        <v>28</v>
      </c>
      <c r="I304" t="s">
        <v>856</v>
      </c>
    </row>
    <row r="305" spans="1:9" ht="11.25" customHeight="1">
      <c r="A305" t="s">
        <v>2248</v>
      </c>
      <c r="B305" t="s">
        <v>16</v>
      </c>
      <c r="C305" t="s">
        <v>2565</v>
      </c>
      <c r="D305" t="s">
        <v>2566</v>
      </c>
      <c r="E305" t="s">
        <v>2251</v>
      </c>
      <c r="F305" t="s">
        <v>2567</v>
      </c>
      <c r="G305" t="s">
        <v>28</v>
      </c>
      <c r="H305" t="s">
        <v>28</v>
      </c>
      <c r="I305" t="s">
        <v>856</v>
      </c>
    </row>
    <row r="306" spans="1:9" ht="11.25" customHeight="1">
      <c r="A306" t="s">
        <v>2248</v>
      </c>
      <c r="B306" t="s">
        <v>16</v>
      </c>
      <c r="C306" t="s">
        <v>2568</v>
      </c>
      <c r="D306" t="s">
        <v>2569</v>
      </c>
      <c r="E306" t="s">
        <v>2251</v>
      </c>
      <c r="F306" t="s">
        <v>2570</v>
      </c>
      <c r="G306" t="s">
        <v>28</v>
      </c>
      <c r="H306" t="s">
        <v>28</v>
      </c>
      <c r="I306" t="s">
        <v>856</v>
      </c>
    </row>
    <row r="307" spans="1:9" ht="11.25" customHeight="1">
      <c r="A307" t="s">
        <v>2248</v>
      </c>
      <c r="B307" t="s">
        <v>16</v>
      </c>
      <c r="C307" t="s">
        <v>2571</v>
      </c>
      <c r="D307" t="s">
        <v>2572</v>
      </c>
      <c r="E307" t="s">
        <v>2251</v>
      </c>
      <c r="F307" t="s">
        <v>2573</v>
      </c>
      <c r="G307" t="s">
        <v>28</v>
      </c>
      <c r="H307" t="s">
        <v>28</v>
      </c>
      <c r="I307" t="s">
        <v>856</v>
      </c>
    </row>
    <row r="308" spans="1:9" ht="11.25" customHeight="1">
      <c r="A308" t="s">
        <v>2248</v>
      </c>
      <c r="B308" t="s">
        <v>16</v>
      </c>
      <c r="C308" t="s">
        <v>2574</v>
      </c>
      <c r="D308" t="s">
        <v>2575</v>
      </c>
      <c r="E308" t="s">
        <v>2251</v>
      </c>
      <c r="F308" t="s">
        <v>2576</v>
      </c>
      <c r="G308" t="s">
        <v>28</v>
      </c>
      <c r="H308" t="s">
        <v>28</v>
      </c>
      <c r="I308" t="s">
        <v>856</v>
      </c>
    </row>
    <row r="309" spans="1:9" ht="11.25" customHeight="1">
      <c r="A309" t="s">
        <v>2248</v>
      </c>
      <c r="B309" t="s">
        <v>16</v>
      </c>
      <c r="C309" t="s">
        <v>2577</v>
      </c>
      <c r="D309" t="s">
        <v>2578</v>
      </c>
      <c r="E309" t="s">
        <v>2251</v>
      </c>
      <c r="F309" t="s">
        <v>2579</v>
      </c>
      <c r="G309" t="s">
        <v>28</v>
      </c>
      <c r="H309" t="s">
        <v>28</v>
      </c>
      <c r="I309" t="s">
        <v>856</v>
      </c>
    </row>
    <row r="310" spans="1:9" ht="11.25" customHeight="1">
      <c r="A310" t="s">
        <v>2248</v>
      </c>
      <c r="B310" t="s">
        <v>16</v>
      </c>
      <c r="C310" t="s">
        <v>2580</v>
      </c>
      <c r="D310" t="s">
        <v>2581</v>
      </c>
      <c r="E310" t="s">
        <v>2251</v>
      </c>
      <c r="F310" t="s">
        <v>2582</v>
      </c>
      <c r="G310" t="s">
        <v>28</v>
      </c>
      <c r="H310" t="s">
        <v>28</v>
      </c>
      <c r="I310" t="s">
        <v>856</v>
      </c>
    </row>
    <row r="311" spans="1:9" ht="11.25" customHeight="1">
      <c r="A311" t="s">
        <v>2248</v>
      </c>
      <c r="B311" t="s">
        <v>16</v>
      </c>
      <c r="C311" t="s">
        <v>2583</v>
      </c>
      <c r="D311" t="s">
        <v>2584</v>
      </c>
      <c r="E311" t="s">
        <v>2251</v>
      </c>
      <c r="F311" t="s">
        <v>2585</v>
      </c>
      <c r="G311" t="s">
        <v>28</v>
      </c>
      <c r="H311" t="s">
        <v>28</v>
      </c>
      <c r="I311" t="s">
        <v>856</v>
      </c>
    </row>
    <row r="312" spans="1:9" ht="11.25" customHeight="1">
      <c r="A312" t="s">
        <v>2248</v>
      </c>
      <c r="B312" t="s">
        <v>16</v>
      </c>
      <c r="C312" t="s">
        <v>2586</v>
      </c>
      <c r="D312" t="s">
        <v>2587</v>
      </c>
      <c r="E312" t="s">
        <v>2588</v>
      </c>
      <c r="F312" t="s">
        <v>2589</v>
      </c>
      <c r="G312" t="s">
        <v>28</v>
      </c>
      <c r="H312" t="s">
        <v>28</v>
      </c>
      <c r="I312" t="s">
        <v>856</v>
      </c>
    </row>
    <row r="313" spans="1:9" ht="11.25" customHeight="1">
      <c r="A313" t="s">
        <v>2248</v>
      </c>
      <c r="B313" t="s">
        <v>16</v>
      </c>
      <c r="C313" t="s">
        <v>2590</v>
      </c>
      <c r="D313" t="s">
        <v>2591</v>
      </c>
      <c r="E313" t="s">
        <v>2588</v>
      </c>
      <c r="F313" t="s">
        <v>2592</v>
      </c>
      <c r="G313" t="s">
        <v>28</v>
      </c>
      <c r="H313" t="s">
        <v>28</v>
      </c>
      <c r="I313" t="s">
        <v>856</v>
      </c>
    </row>
    <row r="314" spans="1:9" ht="11.25" customHeight="1">
      <c r="A314" t="s">
        <v>2248</v>
      </c>
      <c r="B314" t="s">
        <v>16</v>
      </c>
      <c r="C314" t="s">
        <v>2593</v>
      </c>
      <c r="D314" t="s">
        <v>2594</v>
      </c>
      <c r="E314" t="s">
        <v>2588</v>
      </c>
      <c r="F314" t="s">
        <v>2595</v>
      </c>
      <c r="G314" t="s">
        <v>28</v>
      </c>
      <c r="H314" t="s">
        <v>28</v>
      </c>
      <c r="I314" t="s">
        <v>856</v>
      </c>
    </row>
    <row r="315" spans="1:9" ht="11.25" customHeight="1">
      <c r="A315" t="s">
        <v>2248</v>
      </c>
      <c r="B315" t="s">
        <v>16</v>
      </c>
      <c r="C315" t="s">
        <v>2596</v>
      </c>
      <c r="D315" t="s">
        <v>2597</v>
      </c>
      <c r="E315" t="s">
        <v>2598</v>
      </c>
      <c r="F315" t="s">
        <v>2599</v>
      </c>
      <c r="G315" t="s">
        <v>2600</v>
      </c>
      <c r="H315" t="s">
        <v>28</v>
      </c>
      <c r="I315" t="s">
        <v>856</v>
      </c>
    </row>
    <row r="316" spans="1:9" ht="11.25" customHeight="1">
      <c r="A316" t="s">
        <v>2248</v>
      </c>
      <c r="B316" t="s">
        <v>16</v>
      </c>
      <c r="C316" t="s">
        <v>2601</v>
      </c>
      <c r="D316" t="s">
        <v>2602</v>
      </c>
      <c r="E316" t="s">
        <v>2603</v>
      </c>
      <c r="F316" t="s">
        <v>2284</v>
      </c>
      <c r="G316" t="s">
        <v>28</v>
      </c>
      <c r="H316" t="s">
        <v>28</v>
      </c>
      <c r="I316" t="s">
        <v>856</v>
      </c>
    </row>
    <row r="317" spans="1:9" ht="11.25" customHeight="1">
      <c r="A317" t="s">
        <v>2248</v>
      </c>
      <c r="B317" t="s">
        <v>16</v>
      </c>
      <c r="C317" t="s">
        <v>2607</v>
      </c>
      <c r="D317" t="s">
        <v>2608</v>
      </c>
      <c r="E317" t="s">
        <v>2609</v>
      </c>
      <c r="F317" t="s">
        <v>2599</v>
      </c>
      <c r="G317" t="s">
        <v>2600</v>
      </c>
      <c r="H317" t="s">
        <v>28</v>
      </c>
      <c r="I317" t="s">
        <v>856</v>
      </c>
    </row>
    <row r="318" spans="1:9" ht="11.25" customHeight="1">
      <c r="A318" t="s">
        <v>2248</v>
      </c>
      <c r="B318" t="s">
        <v>16</v>
      </c>
      <c r="C318" t="s">
        <v>2610</v>
      </c>
      <c r="D318" t="s">
        <v>2611</v>
      </c>
      <c r="E318" t="s">
        <v>2259</v>
      </c>
      <c r="F318" t="s">
        <v>2612</v>
      </c>
      <c r="G318" t="s">
        <v>28</v>
      </c>
      <c r="H318" t="s">
        <v>28</v>
      </c>
      <c r="I318" t="s">
        <v>856</v>
      </c>
    </row>
    <row r="319" spans="1:9" ht="11.25" customHeight="1">
      <c r="A319" t="s">
        <v>2248</v>
      </c>
      <c r="B319" t="s">
        <v>16</v>
      </c>
      <c r="C319" t="s">
        <v>2906</v>
      </c>
      <c r="D319" t="s">
        <v>2907</v>
      </c>
      <c r="E319" t="s">
        <v>2259</v>
      </c>
      <c r="F319" t="s">
        <v>2908</v>
      </c>
      <c r="G319" t="s">
        <v>28</v>
      </c>
      <c r="H319" t="s">
        <v>28</v>
      </c>
      <c r="I319" t="s">
        <v>856</v>
      </c>
    </row>
    <row r="320" spans="1:9" ht="11.25" customHeight="1">
      <c r="A320" t="s">
        <v>2248</v>
      </c>
      <c r="B320" t="s">
        <v>16</v>
      </c>
      <c r="C320" t="s">
        <v>2615</v>
      </c>
      <c r="D320" t="s">
        <v>2616</v>
      </c>
      <c r="E320" t="s">
        <v>2617</v>
      </c>
      <c r="F320" t="s">
        <v>2618</v>
      </c>
      <c r="G320" t="s">
        <v>28</v>
      </c>
      <c r="H320" t="s">
        <v>28</v>
      </c>
      <c r="I320" t="s">
        <v>856</v>
      </c>
    </row>
    <row r="321" spans="1:9" ht="11.25" customHeight="1">
      <c r="A321" t="s">
        <v>2248</v>
      </c>
      <c r="B321" t="s">
        <v>16</v>
      </c>
      <c r="C321" t="s">
        <v>2619</v>
      </c>
      <c r="D321" t="s">
        <v>2616</v>
      </c>
      <c r="E321" t="s">
        <v>2617</v>
      </c>
      <c r="F321" t="s">
        <v>2620</v>
      </c>
      <c r="G321" t="s">
        <v>2621</v>
      </c>
      <c r="H321" t="s">
        <v>28</v>
      </c>
      <c r="I321" t="s">
        <v>856</v>
      </c>
    </row>
    <row r="322" spans="1:9" ht="11.25" customHeight="1">
      <c r="A322" t="s">
        <v>2248</v>
      </c>
      <c r="B322" t="s">
        <v>16</v>
      </c>
      <c r="C322" t="s">
        <v>2909</v>
      </c>
      <c r="D322" t="s">
        <v>2910</v>
      </c>
      <c r="E322" t="s">
        <v>2911</v>
      </c>
      <c r="F322" t="s">
        <v>2289</v>
      </c>
      <c r="G322" t="s">
        <v>28</v>
      </c>
      <c r="H322" t="s">
        <v>28</v>
      </c>
      <c r="I322" t="s">
        <v>856</v>
      </c>
    </row>
    <row r="323" spans="1:9" ht="11.25" customHeight="1">
      <c r="A323" t="s">
        <v>2248</v>
      </c>
      <c r="B323" t="s">
        <v>16</v>
      </c>
      <c r="C323" t="s">
        <v>2626</v>
      </c>
      <c r="D323" t="s">
        <v>2627</v>
      </c>
      <c r="E323" t="s">
        <v>2628</v>
      </c>
      <c r="F323" t="s">
        <v>2307</v>
      </c>
      <c r="G323" t="s">
        <v>28</v>
      </c>
      <c r="H323" t="s">
        <v>28</v>
      </c>
      <c r="I323" t="s">
        <v>856</v>
      </c>
    </row>
    <row r="324" spans="1:9" ht="11.25" customHeight="1">
      <c r="A324" t="s">
        <v>2248</v>
      </c>
      <c r="B324" t="s">
        <v>16</v>
      </c>
      <c r="C324" t="s">
        <v>2629</v>
      </c>
      <c r="D324" t="s">
        <v>2630</v>
      </c>
      <c r="E324" t="s">
        <v>2631</v>
      </c>
      <c r="F324" t="s">
        <v>2295</v>
      </c>
      <c r="G324" t="s">
        <v>28</v>
      </c>
      <c r="H324" t="s">
        <v>28</v>
      </c>
      <c r="I324" t="s">
        <v>856</v>
      </c>
    </row>
    <row r="325" spans="1:9" ht="11.25" customHeight="1">
      <c r="A325" t="s">
        <v>2248</v>
      </c>
      <c r="B325" t="s">
        <v>16</v>
      </c>
      <c r="C325" t="s">
        <v>2632</v>
      </c>
      <c r="D325" t="s">
        <v>2633</v>
      </c>
      <c r="E325" t="s">
        <v>2634</v>
      </c>
      <c r="F325" t="s">
        <v>2339</v>
      </c>
      <c r="G325" t="s">
        <v>28</v>
      </c>
      <c r="H325" t="s">
        <v>28</v>
      </c>
      <c r="I325" t="s">
        <v>856</v>
      </c>
    </row>
    <row r="326" spans="1:9" ht="11.25" customHeight="1">
      <c r="A326" t="s">
        <v>2248</v>
      </c>
      <c r="B326" t="s">
        <v>16</v>
      </c>
      <c r="C326" t="s">
        <v>2912</v>
      </c>
      <c r="D326" t="s">
        <v>2913</v>
      </c>
      <c r="E326" t="s">
        <v>2914</v>
      </c>
      <c r="F326" t="s">
        <v>2299</v>
      </c>
      <c r="G326" t="s">
        <v>28</v>
      </c>
      <c r="H326" t="s">
        <v>28</v>
      </c>
      <c r="I326" t="s">
        <v>856</v>
      </c>
    </row>
    <row r="327" spans="1:9" ht="11.25" customHeight="1">
      <c r="A327" t="s">
        <v>2248</v>
      </c>
      <c r="B327" t="s">
        <v>16</v>
      </c>
      <c r="C327" t="s">
        <v>2641</v>
      </c>
      <c r="D327" t="s">
        <v>2642</v>
      </c>
      <c r="E327" t="s">
        <v>2643</v>
      </c>
      <c r="F327" t="s">
        <v>2256</v>
      </c>
      <c r="G327" t="s">
        <v>2644</v>
      </c>
      <c r="H327" t="s">
        <v>28</v>
      </c>
      <c r="I327" t="s">
        <v>856</v>
      </c>
    </row>
    <row r="328" spans="1:9" ht="11.25" customHeight="1">
      <c r="A328" t="s">
        <v>2248</v>
      </c>
      <c r="B328" t="s">
        <v>16</v>
      </c>
      <c r="C328" t="s">
        <v>2645</v>
      </c>
      <c r="D328" t="s">
        <v>2646</v>
      </c>
      <c r="E328" t="s">
        <v>2647</v>
      </c>
      <c r="F328" t="s">
        <v>2648</v>
      </c>
      <c r="G328" t="s">
        <v>28</v>
      </c>
      <c r="H328" t="s">
        <v>28</v>
      </c>
      <c r="I328" t="s">
        <v>856</v>
      </c>
    </row>
    <row r="329" spans="1:9" ht="11.25" customHeight="1">
      <c r="A329" t="s">
        <v>2248</v>
      </c>
      <c r="B329" t="s">
        <v>16</v>
      </c>
      <c r="C329" t="s">
        <v>2649</v>
      </c>
      <c r="D329" t="s">
        <v>2650</v>
      </c>
      <c r="E329" t="s">
        <v>2651</v>
      </c>
      <c r="F329" t="s">
        <v>2289</v>
      </c>
      <c r="G329" t="s">
        <v>2652</v>
      </c>
      <c r="H329" t="s">
        <v>28</v>
      </c>
      <c r="I329" t="s">
        <v>856</v>
      </c>
    </row>
    <row r="330" spans="1:9" ht="11.25" customHeight="1">
      <c r="A330" t="s">
        <v>2248</v>
      </c>
      <c r="B330" t="s">
        <v>16</v>
      </c>
      <c r="C330" t="s">
        <v>2653</v>
      </c>
      <c r="D330" t="s">
        <v>2654</v>
      </c>
      <c r="E330" t="s">
        <v>2655</v>
      </c>
      <c r="F330" t="s">
        <v>2466</v>
      </c>
      <c r="G330" t="s">
        <v>28</v>
      </c>
      <c r="H330" t="s">
        <v>28</v>
      </c>
      <c r="I330" t="s">
        <v>856</v>
      </c>
    </row>
    <row r="331" spans="1:9" ht="11.25" customHeight="1">
      <c r="A331" t="s">
        <v>2248</v>
      </c>
      <c r="B331" t="s">
        <v>16</v>
      </c>
      <c r="C331" t="s">
        <v>2915</v>
      </c>
      <c r="D331" t="s">
        <v>2916</v>
      </c>
      <c r="E331" t="s">
        <v>2917</v>
      </c>
      <c r="F331" t="s">
        <v>2307</v>
      </c>
      <c r="G331" t="s">
        <v>28</v>
      </c>
      <c r="H331" t="s">
        <v>28</v>
      </c>
      <c r="I331" t="s">
        <v>856</v>
      </c>
    </row>
    <row r="332" spans="1:9" ht="11.25" customHeight="1">
      <c r="A332" t="s">
        <v>2248</v>
      </c>
      <c r="B332" t="s">
        <v>16</v>
      </c>
      <c r="C332" t="s">
        <v>2666</v>
      </c>
      <c r="D332" t="s">
        <v>2667</v>
      </c>
      <c r="E332" t="s">
        <v>2668</v>
      </c>
      <c r="F332" t="s">
        <v>2466</v>
      </c>
      <c r="G332" t="s">
        <v>28</v>
      </c>
      <c r="H332" t="s">
        <v>28</v>
      </c>
      <c r="I332" t="s">
        <v>856</v>
      </c>
    </row>
    <row r="333" spans="1:9" ht="11.25" customHeight="1">
      <c r="A333" t="s">
        <v>2248</v>
      </c>
      <c r="B333" t="s">
        <v>16</v>
      </c>
      <c r="C333" t="s">
        <v>2669</v>
      </c>
      <c r="D333" t="s">
        <v>2670</v>
      </c>
      <c r="E333" t="s">
        <v>2671</v>
      </c>
      <c r="F333" t="s">
        <v>2648</v>
      </c>
      <c r="G333" t="s">
        <v>28</v>
      </c>
      <c r="H333" t="s">
        <v>28</v>
      </c>
      <c r="I333" t="s">
        <v>856</v>
      </c>
    </row>
    <row r="334" spans="1:9" ht="11.25" customHeight="1">
      <c r="A334" t="s">
        <v>2248</v>
      </c>
      <c r="B334" t="s">
        <v>16</v>
      </c>
      <c r="C334" t="s">
        <v>2672</v>
      </c>
      <c r="D334" t="s">
        <v>2673</v>
      </c>
      <c r="E334" t="s">
        <v>2674</v>
      </c>
      <c r="F334" t="s">
        <v>2350</v>
      </c>
      <c r="G334" t="s">
        <v>2675</v>
      </c>
      <c r="H334" t="s">
        <v>28</v>
      </c>
      <c r="I334" t="s">
        <v>856</v>
      </c>
    </row>
    <row r="335" spans="1:9" ht="11.25" customHeight="1">
      <c r="A335" t="s">
        <v>2248</v>
      </c>
      <c r="B335" t="s">
        <v>16</v>
      </c>
      <c r="C335" t="s">
        <v>2682</v>
      </c>
      <c r="D335" t="s">
        <v>2683</v>
      </c>
      <c r="E335" t="s">
        <v>2684</v>
      </c>
      <c r="F335" t="s">
        <v>2685</v>
      </c>
      <c r="G335" t="s">
        <v>2686</v>
      </c>
      <c r="H335" t="s">
        <v>28</v>
      </c>
      <c r="I335" t="s">
        <v>856</v>
      </c>
    </row>
    <row r="336" spans="1:9" ht="11.25" customHeight="1">
      <c r="A336" t="s">
        <v>2248</v>
      </c>
      <c r="B336" t="s">
        <v>16</v>
      </c>
      <c r="C336" t="s">
        <v>2687</v>
      </c>
      <c r="D336" t="s">
        <v>2688</v>
      </c>
      <c r="E336" t="s">
        <v>2689</v>
      </c>
      <c r="F336" t="s">
        <v>2648</v>
      </c>
      <c r="G336" t="s">
        <v>28</v>
      </c>
      <c r="H336" t="s">
        <v>28</v>
      </c>
      <c r="I336" t="s">
        <v>856</v>
      </c>
    </row>
    <row r="337" spans="1:9" ht="11.25" customHeight="1">
      <c r="A337" t="s">
        <v>2248</v>
      </c>
      <c r="B337" t="s">
        <v>16</v>
      </c>
      <c r="C337" t="s">
        <v>2700</v>
      </c>
      <c r="D337" t="s">
        <v>2701</v>
      </c>
      <c r="E337" t="s">
        <v>2251</v>
      </c>
      <c r="F337" t="s">
        <v>2702</v>
      </c>
      <c r="G337" t="s">
        <v>28</v>
      </c>
      <c r="H337" t="s">
        <v>28</v>
      </c>
      <c r="I337" t="s">
        <v>856</v>
      </c>
    </row>
    <row r="338" spans="1:9" ht="11.25" customHeight="1">
      <c r="A338" t="s">
        <v>2248</v>
      </c>
      <c r="B338" t="s">
        <v>16</v>
      </c>
      <c r="C338" t="s">
        <v>2918</v>
      </c>
      <c r="D338" t="s">
        <v>2919</v>
      </c>
      <c r="E338" t="s">
        <v>2396</v>
      </c>
      <c r="F338" t="s">
        <v>2920</v>
      </c>
      <c r="G338" t="s">
        <v>28</v>
      </c>
      <c r="H338" t="s">
        <v>28</v>
      </c>
      <c r="I338" t="s">
        <v>856</v>
      </c>
    </row>
    <row r="339" spans="1:9" ht="11.25" customHeight="1">
      <c r="A339" t="s">
        <v>2248</v>
      </c>
      <c r="B339" t="s">
        <v>16</v>
      </c>
      <c r="C339" t="s">
        <v>2921</v>
      </c>
      <c r="D339" t="s">
        <v>2922</v>
      </c>
      <c r="E339" t="s">
        <v>2396</v>
      </c>
      <c r="F339" t="s">
        <v>2289</v>
      </c>
      <c r="G339" t="s">
        <v>28</v>
      </c>
      <c r="H339" t="s">
        <v>28</v>
      </c>
      <c r="I339" t="s">
        <v>856</v>
      </c>
    </row>
    <row r="340" spans="1:9" ht="11.25" customHeight="1">
      <c r="A340" t="s">
        <v>2248</v>
      </c>
      <c r="B340" t="s">
        <v>16</v>
      </c>
      <c r="C340" t="s">
        <v>2712</v>
      </c>
      <c r="D340" t="s">
        <v>2713</v>
      </c>
      <c r="E340" t="s">
        <v>2714</v>
      </c>
      <c r="F340" t="s">
        <v>2715</v>
      </c>
      <c r="G340" t="s">
        <v>2716</v>
      </c>
      <c r="H340" t="s">
        <v>28</v>
      </c>
      <c r="I340" t="s">
        <v>856</v>
      </c>
    </row>
    <row r="341" spans="1:9" ht="11.25" customHeight="1">
      <c r="A341" t="s">
        <v>2248</v>
      </c>
      <c r="B341" t="s">
        <v>16</v>
      </c>
      <c r="C341" t="s">
        <v>2923</v>
      </c>
      <c r="D341" t="s">
        <v>2924</v>
      </c>
      <c r="E341" t="s">
        <v>2925</v>
      </c>
      <c r="F341" t="s">
        <v>2289</v>
      </c>
      <c r="G341" t="s">
        <v>28</v>
      </c>
      <c r="H341" t="s">
        <v>28</v>
      </c>
      <c r="I341" t="s">
        <v>856</v>
      </c>
    </row>
    <row r="342" spans="1:9" ht="11.25" customHeight="1">
      <c r="A342" t="s">
        <v>2248</v>
      </c>
      <c r="B342" t="s">
        <v>16</v>
      </c>
      <c r="C342" t="s">
        <v>2727</v>
      </c>
      <c r="D342" t="s">
        <v>2728</v>
      </c>
      <c r="E342" t="s">
        <v>2729</v>
      </c>
      <c r="F342" t="s">
        <v>2350</v>
      </c>
      <c r="G342" t="s">
        <v>28</v>
      </c>
      <c r="H342" t="s">
        <v>28</v>
      </c>
      <c r="I342" t="s">
        <v>856</v>
      </c>
    </row>
    <row r="343" spans="1:9" ht="11.25" customHeight="1">
      <c r="A343" t="s">
        <v>2248</v>
      </c>
      <c r="B343" t="s">
        <v>16</v>
      </c>
      <c r="C343" t="s">
        <v>2730</v>
      </c>
      <c r="D343" t="s">
        <v>2731</v>
      </c>
      <c r="E343" t="s">
        <v>2732</v>
      </c>
      <c r="F343" t="s">
        <v>2307</v>
      </c>
      <c r="G343" t="s">
        <v>28</v>
      </c>
      <c r="H343" t="s">
        <v>28</v>
      </c>
      <c r="I343" t="s">
        <v>856</v>
      </c>
    </row>
    <row r="344" spans="1:9" ht="11.25" customHeight="1">
      <c r="A344" t="s">
        <v>2248</v>
      </c>
      <c r="B344" t="s">
        <v>16</v>
      </c>
      <c r="C344" t="s">
        <v>2926</v>
      </c>
      <c r="D344" t="s">
        <v>2927</v>
      </c>
      <c r="E344" t="s">
        <v>2928</v>
      </c>
      <c r="F344" t="s">
        <v>2289</v>
      </c>
      <c r="G344" t="s">
        <v>28</v>
      </c>
      <c r="H344" t="s">
        <v>28</v>
      </c>
      <c r="I344" t="s">
        <v>856</v>
      </c>
    </row>
    <row r="345" spans="1:9" ht="11.25" customHeight="1">
      <c r="A345" t="s">
        <v>2248</v>
      </c>
      <c r="B345" t="s">
        <v>16</v>
      </c>
      <c r="C345" t="s">
        <v>2751</v>
      </c>
      <c r="D345" t="s">
        <v>2752</v>
      </c>
      <c r="E345" t="s">
        <v>2753</v>
      </c>
      <c r="F345" t="s">
        <v>2350</v>
      </c>
      <c r="G345" t="s">
        <v>2754</v>
      </c>
      <c r="H345" t="s">
        <v>28</v>
      </c>
      <c r="I345" t="s">
        <v>856</v>
      </c>
    </row>
    <row r="346" spans="1:9" ht="11.25" customHeight="1">
      <c r="A346" t="s">
        <v>2248</v>
      </c>
      <c r="B346" t="s">
        <v>16</v>
      </c>
      <c r="C346" t="s">
        <v>2755</v>
      </c>
      <c r="D346" t="s">
        <v>2756</v>
      </c>
      <c r="E346" t="s">
        <v>2757</v>
      </c>
      <c r="F346" t="s">
        <v>2350</v>
      </c>
      <c r="G346" t="s">
        <v>28</v>
      </c>
      <c r="H346" t="s">
        <v>28</v>
      </c>
      <c r="I346" t="s">
        <v>856</v>
      </c>
    </row>
    <row r="347" spans="1:9" ht="11.25" customHeight="1">
      <c r="A347" t="s">
        <v>2248</v>
      </c>
      <c r="B347" t="s">
        <v>16</v>
      </c>
      <c r="C347" t="s">
        <v>2758</v>
      </c>
      <c r="D347" t="s">
        <v>2759</v>
      </c>
      <c r="E347" t="s">
        <v>2617</v>
      </c>
      <c r="F347" t="s">
        <v>2760</v>
      </c>
      <c r="G347" t="s">
        <v>28</v>
      </c>
      <c r="H347" t="s">
        <v>28</v>
      </c>
      <c r="I347" t="s">
        <v>856</v>
      </c>
    </row>
    <row r="348" spans="1:9" ht="11.25" customHeight="1">
      <c r="A348" t="s">
        <v>2248</v>
      </c>
      <c r="B348" t="s">
        <v>16</v>
      </c>
      <c r="C348" t="s">
        <v>2765</v>
      </c>
      <c r="D348" t="s">
        <v>2766</v>
      </c>
      <c r="E348" t="s">
        <v>2767</v>
      </c>
      <c r="F348" t="s">
        <v>2319</v>
      </c>
      <c r="G348" t="s">
        <v>28</v>
      </c>
      <c r="H348" t="s">
        <v>28</v>
      </c>
      <c r="I348" t="s">
        <v>856</v>
      </c>
    </row>
    <row r="349" spans="1:9" ht="11.25" customHeight="1">
      <c r="A349" t="s">
        <v>2248</v>
      </c>
      <c r="B349" t="s">
        <v>16</v>
      </c>
      <c r="C349" t="s">
        <v>2929</v>
      </c>
      <c r="D349" t="s">
        <v>2930</v>
      </c>
      <c r="E349" t="s">
        <v>2931</v>
      </c>
      <c r="F349" t="s">
        <v>2284</v>
      </c>
      <c r="G349" t="s">
        <v>28</v>
      </c>
      <c r="H349" t="s">
        <v>28</v>
      </c>
      <c r="I349" t="s">
        <v>856</v>
      </c>
    </row>
    <row r="350" spans="1:9" ht="11.25" customHeight="1">
      <c r="A350" t="s">
        <v>2248</v>
      </c>
      <c r="B350" t="s">
        <v>16</v>
      </c>
      <c r="C350" t="s">
        <v>2932</v>
      </c>
      <c r="D350" t="s">
        <v>2933</v>
      </c>
      <c r="E350" t="s">
        <v>2934</v>
      </c>
      <c r="F350" t="s">
        <v>2307</v>
      </c>
      <c r="G350" t="s">
        <v>28</v>
      </c>
      <c r="H350" t="s">
        <v>28</v>
      </c>
      <c r="I350" t="s">
        <v>856</v>
      </c>
    </row>
    <row r="351" spans="1:9" ht="11.25" customHeight="1">
      <c r="A351" t="s">
        <v>2248</v>
      </c>
      <c r="B351" t="s">
        <v>16</v>
      </c>
      <c r="C351" t="s">
        <v>2768</v>
      </c>
      <c r="D351" t="s">
        <v>2769</v>
      </c>
      <c r="E351" t="s">
        <v>2770</v>
      </c>
      <c r="F351" t="s">
        <v>2307</v>
      </c>
      <c r="G351" t="s">
        <v>2771</v>
      </c>
      <c r="H351" t="s">
        <v>28</v>
      </c>
      <c r="I351" t="s">
        <v>856</v>
      </c>
    </row>
    <row r="352" spans="1:9" ht="11.25" customHeight="1">
      <c r="A352" t="s">
        <v>2248</v>
      </c>
      <c r="B352" t="s">
        <v>16</v>
      </c>
      <c r="C352" t="s">
        <v>2935</v>
      </c>
      <c r="D352" t="s">
        <v>2936</v>
      </c>
      <c r="E352" t="s">
        <v>2937</v>
      </c>
      <c r="F352" t="s">
        <v>2938</v>
      </c>
      <c r="G352" t="s">
        <v>28</v>
      </c>
      <c r="H352" t="s">
        <v>28</v>
      </c>
      <c r="I352" t="s">
        <v>856</v>
      </c>
    </row>
    <row r="353" spans="1:9" ht="11.25" customHeight="1">
      <c r="A353" t="s">
        <v>2248</v>
      </c>
      <c r="B353" t="s">
        <v>16</v>
      </c>
      <c r="C353" t="s">
        <v>2939</v>
      </c>
      <c r="D353" t="s">
        <v>2940</v>
      </c>
      <c r="E353" t="s">
        <v>2941</v>
      </c>
      <c r="F353" t="s">
        <v>2307</v>
      </c>
      <c r="G353" t="s">
        <v>28</v>
      </c>
      <c r="H353" t="s">
        <v>28</v>
      </c>
      <c r="I353" t="s">
        <v>856</v>
      </c>
    </row>
    <row r="354" spans="1:9" ht="11.25" customHeight="1">
      <c r="A354" t="s">
        <v>2248</v>
      </c>
      <c r="B354" t="s">
        <v>16</v>
      </c>
      <c r="C354" t="s">
        <v>2942</v>
      </c>
      <c r="D354" t="s">
        <v>2943</v>
      </c>
      <c r="E354" t="s">
        <v>2944</v>
      </c>
      <c r="F354" t="s">
        <v>2299</v>
      </c>
      <c r="G354" t="s">
        <v>28</v>
      </c>
      <c r="H354" t="s">
        <v>28</v>
      </c>
      <c r="I354" t="s">
        <v>856</v>
      </c>
    </row>
    <row r="355" spans="1:9" ht="11.25" customHeight="1">
      <c r="A355" t="s">
        <v>2248</v>
      </c>
      <c r="B355" t="s">
        <v>16</v>
      </c>
      <c r="C355" t="s">
        <v>2788</v>
      </c>
      <c r="D355" t="s">
        <v>2789</v>
      </c>
      <c r="E355" t="s">
        <v>2790</v>
      </c>
      <c r="F355" t="s">
        <v>2791</v>
      </c>
      <c r="G355" t="s">
        <v>28</v>
      </c>
      <c r="H355" t="s">
        <v>28</v>
      </c>
      <c r="I355" t="s">
        <v>856</v>
      </c>
    </row>
    <row r="356" spans="1:9" ht="11.25" customHeight="1">
      <c r="A356" t="s">
        <v>2248</v>
      </c>
      <c r="B356" t="s">
        <v>16</v>
      </c>
      <c r="C356" t="s">
        <v>2945</v>
      </c>
      <c r="D356" t="s">
        <v>2946</v>
      </c>
      <c r="E356" t="s">
        <v>2947</v>
      </c>
      <c r="F356" t="s">
        <v>2289</v>
      </c>
      <c r="G356" t="s">
        <v>2948</v>
      </c>
      <c r="H356" t="s">
        <v>28</v>
      </c>
      <c r="I356" t="s">
        <v>856</v>
      </c>
    </row>
    <row r="357" spans="1:9" ht="11.25" customHeight="1">
      <c r="A357" t="s">
        <v>2248</v>
      </c>
      <c r="B357" t="s">
        <v>16</v>
      </c>
      <c r="C357" t="s">
        <v>2792</v>
      </c>
      <c r="D357" t="s">
        <v>2793</v>
      </c>
      <c r="E357" t="s">
        <v>2794</v>
      </c>
      <c r="F357" t="s">
        <v>2289</v>
      </c>
      <c r="G357" t="s">
        <v>28</v>
      </c>
      <c r="H357" t="s">
        <v>28</v>
      </c>
      <c r="I357" t="s">
        <v>856</v>
      </c>
    </row>
    <row r="358" spans="1:9" ht="11.25" customHeight="1">
      <c r="A358" t="s">
        <v>2248</v>
      </c>
      <c r="B358" t="s">
        <v>16</v>
      </c>
      <c r="C358" t="s">
        <v>2949</v>
      </c>
      <c r="D358" t="s">
        <v>2950</v>
      </c>
      <c r="E358" t="s">
        <v>2816</v>
      </c>
      <c r="F358" t="s">
        <v>2414</v>
      </c>
      <c r="G358" t="s">
        <v>28</v>
      </c>
      <c r="H358" t="s">
        <v>28</v>
      </c>
      <c r="I358" t="s">
        <v>856</v>
      </c>
    </row>
    <row r="359" spans="1:9" ht="11.25" customHeight="1">
      <c r="A359" t="s">
        <v>2248</v>
      </c>
      <c r="B359" t="s">
        <v>16</v>
      </c>
      <c r="C359" t="s">
        <v>2951</v>
      </c>
      <c r="D359" t="s">
        <v>2952</v>
      </c>
      <c r="E359" t="s">
        <v>2866</v>
      </c>
      <c r="F359" t="s">
        <v>2953</v>
      </c>
      <c r="G359" t="s">
        <v>2954</v>
      </c>
      <c r="H359" t="s">
        <v>28</v>
      </c>
      <c r="I359" t="s">
        <v>856</v>
      </c>
    </row>
    <row r="360" spans="1:9" ht="11.25" customHeight="1">
      <c r="A360" t="s">
        <v>2248</v>
      </c>
      <c r="B360" t="s">
        <v>16</v>
      </c>
      <c r="C360" t="s">
        <v>2798</v>
      </c>
      <c r="D360" t="s">
        <v>2799</v>
      </c>
      <c r="E360" t="s">
        <v>2800</v>
      </c>
      <c r="F360" t="s">
        <v>2339</v>
      </c>
      <c r="G360" t="s">
        <v>2801</v>
      </c>
      <c r="H360" t="s">
        <v>28</v>
      </c>
      <c r="I360" t="s">
        <v>856</v>
      </c>
    </row>
    <row r="361" spans="1:9" ht="11.25" customHeight="1">
      <c r="A361" t="s">
        <v>2248</v>
      </c>
      <c r="B361" t="s">
        <v>16</v>
      </c>
      <c r="C361" t="s">
        <v>2810</v>
      </c>
      <c r="D361" t="s">
        <v>2811</v>
      </c>
      <c r="E361" t="s">
        <v>2812</v>
      </c>
      <c r="F361" t="s">
        <v>2648</v>
      </c>
      <c r="G361" t="s">
        <v>2813</v>
      </c>
      <c r="H361" t="s">
        <v>28</v>
      </c>
      <c r="I361" t="s">
        <v>856</v>
      </c>
    </row>
    <row r="362" spans="1:9" ht="11.25" customHeight="1">
      <c r="A362" t="s">
        <v>2248</v>
      </c>
      <c r="B362" t="s">
        <v>16</v>
      </c>
      <c r="C362" t="s">
        <v>2814</v>
      </c>
      <c r="D362" t="s">
        <v>2815</v>
      </c>
      <c r="E362" t="s">
        <v>2816</v>
      </c>
      <c r="F362" t="s">
        <v>2457</v>
      </c>
      <c r="G362" t="s">
        <v>28</v>
      </c>
      <c r="H362" t="s">
        <v>28</v>
      </c>
      <c r="I362" t="s">
        <v>856</v>
      </c>
    </row>
    <row r="363" spans="1:9" ht="11.25" customHeight="1">
      <c r="A363" t="s">
        <v>2248</v>
      </c>
      <c r="B363" t="s">
        <v>16</v>
      </c>
      <c r="C363" t="s">
        <v>2955</v>
      </c>
      <c r="D363" t="s">
        <v>2956</v>
      </c>
      <c r="E363" t="s">
        <v>2957</v>
      </c>
      <c r="F363" t="s">
        <v>2466</v>
      </c>
      <c r="G363" t="s">
        <v>28</v>
      </c>
      <c r="H363" t="s">
        <v>28</v>
      </c>
      <c r="I363" t="s">
        <v>856</v>
      </c>
    </row>
    <row r="364" spans="1:9" ht="11.25" customHeight="1">
      <c r="A364" t="s">
        <v>2248</v>
      </c>
      <c r="B364" t="s">
        <v>16</v>
      </c>
      <c r="C364" t="s">
        <v>28</v>
      </c>
      <c r="D364" t="s">
        <v>2821</v>
      </c>
      <c r="E364" t="s">
        <v>2822</v>
      </c>
      <c r="F364" t="s">
        <v>53</v>
      </c>
      <c r="G364" t="s">
        <v>28</v>
      </c>
      <c r="H364" t="s">
        <v>28</v>
      </c>
      <c r="I364" t="s">
        <v>856</v>
      </c>
    </row>
    <row r="365" spans="1:9" ht="11.25" customHeight="1">
      <c r="A365" t="s">
        <v>2248</v>
      </c>
      <c r="B365" t="s">
        <v>16</v>
      </c>
      <c r="C365" t="s">
        <v>28</v>
      </c>
      <c r="D365" t="s">
        <v>2823</v>
      </c>
      <c r="E365" t="s">
        <v>2824</v>
      </c>
      <c r="F365" t="s">
        <v>2319</v>
      </c>
      <c r="G365" t="s">
        <v>28</v>
      </c>
      <c r="H365" t="s">
        <v>28</v>
      </c>
      <c r="I365" t="s">
        <v>856</v>
      </c>
    </row>
    <row r="366" spans="1:9" ht="11.25" customHeight="1">
      <c r="A366" t="s">
        <v>2248</v>
      </c>
      <c r="B366" t="s">
        <v>16</v>
      </c>
      <c r="C366" t="s">
        <v>2825</v>
      </c>
      <c r="D366" t="s">
        <v>2826</v>
      </c>
      <c r="E366" t="s">
        <v>2827</v>
      </c>
      <c r="F366" t="s">
        <v>2289</v>
      </c>
      <c r="G366" t="s">
        <v>28</v>
      </c>
      <c r="H366" t="s">
        <v>28</v>
      </c>
      <c r="I366" t="s">
        <v>856</v>
      </c>
    </row>
    <row r="367" spans="1:9" ht="11.25" customHeight="1">
      <c r="A367" t="s">
        <v>2248</v>
      </c>
      <c r="B367" t="s">
        <v>16</v>
      </c>
      <c r="C367" t="s">
        <v>2828</v>
      </c>
      <c r="D367" t="s">
        <v>2829</v>
      </c>
      <c r="E367" t="s">
        <v>2830</v>
      </c>
      <c r="F367" t="s">
        <v>2256</v>
      </c>
      <c r="G367" t="s">
        <v>28</v>
      </c>
      <c r="H367" t="s">
        <v>28</v>
      </c>
      <c r="I367" t="s">
        <v>856</v>
      </c>
    </row>
    <row r="368" spans="1:9" ht="11.25" customHeight="1">
      <c r="A368" t="s">
        <v>2248</v>
      </c>
      <c r="B368" t="s">
        <v>16</v>
      </c>
      <c r="C368" t="s">
        <v>2958</v>
      </c>
      <c r="D368" t="s">
        <v>2959</v>
      </c>
      <c r="E368" t="s">
        <v>2259</v>
      </c>
      <c r="F368" t="s">
        <v>2960</v>
      </c>
      <c r="G368" t="s">
        <v>28</v>
      </c>
      <c r="H368" t="s">
        <v>28</v>
      </c>
      <c r="I368" t="s">
        <v>856</v>
      </c>
    </row>
    <row r="369" spans="1:9" ht="11.25" customHeight="1">
      <c r="A369" t="s">
        <v>2248</v>
      </c>
      <c r="B369" t="s">
        <v>16</v>
      </c>
      <c r="C369" t="s">
        <v>2961</v>
      </c>
      <c r="D369" t="s">
        <v>2962</v>
      </c>
      <c r="E369" t="s">
        <v>2963</v>
      </c>
      <c r="F369" t="s">
        <v>2289</v>
      </c>
      <c r="G369" t="s">
        <v>2964</v>
      </c>
      <c r="H369" t="s">
        <v>28</v>
      </c>
      <c r="I369" t="s">
        <v>856</v>
      </c>
    </row>
    <row r="370" spans="1:9" ht="11.25" customHeight="1">
      <c r="A370" t="s">
        <v>2248</v>
      </c>
      <c r="B370" t="s">
        <v>16</v>
      </c>
      <c r="C370" t="s">
        <v>2834</v>
      </c>
      <c r="D370" t="s">
        <v>2835</v>
      </c>
      <c r="E370" t="s">
        <v>2836</v>
      </c>
      <c r="F370" t="s">
        <v>2289</v>
      </c>
      <c r="G370" t="s">
        <v>28</v>
      </c>
      <c r="H370" t="s">
        <v>28</v>
      </c>
      <c r="I370" t="s">
        <v>856</v>
      </c>
    </row>
    <row r="371" spans="1:9" ht="11.25" customHeight="1">
      <c r="A371" t="s">
        <v>2248</v>
      </c>
      <c r="B371" t="s">
        <v>16</v>
      </c>
      <c r="C371" t="s">
        <v>2837</v>
      </c>
      <c r="D371" t="s">
        <v>2838</v>
      </c>
      <c r="E371" t="s">
        <v>2588</v>
      </c>
      <c r="F371" t="s">
        <v>2839</v>
      </c>
      <c r="G371" t="s">
        <v>28</v>
      </c>
      <c r="H371" t="s">
        <v>28</v>
      </c>
      <c r="I371" t="s">
        <v>856</v>
      </c>
    </row>
    <row r="372" spans="1:9" ht="11.25" customHeight="1">
      <c r="A372" t="s">
        <v>2248</v>
      </c>
      <c r="B372" t="s">
        <v>16</v>
      </c>
      <c r="C372" t="s">
        <v>2840</v>
      </c>
      <c r="D372" t="s">
        <v>2841</v>
      </c>
      <c r="E372" t="s">
        <v>2534</v>
      </c>
      <c r="F372" t="s">
        <v>2612</v>
      </c>
      <c r="G372" t="s">
        <v>28</v>
      </c>
      <c r="H372" t="s">
        <v>28</v>
      </c>
      <c r="I372" t="s">
        <v>856</v>
      </c>
    </row>
    <row r="373" spans="1:9" ht="11.25" customHeight="1">
      <c r="A373" t="s">
        <v>2248</v>
      </c>
      <c r="B373" t="s">
        <v>16</v>
      </c>
      <c r="C373" t="s">
        <v>2842</v>
      </c>
      <c r="D373" t="s">
        <v>2843</v>
      </c>
      <c r="E373" t="s">
        <v>2534</v>
      </c>
      <c r="F373" t="s">
        <v>2844</v>
      </c>
      <c r="G373" t="s">
        <v>28</v>
      </c>
      <c r="H373" t="s">
        <v>28</v>
      </c>
      <c r="I373" t="s">
        <v>856</v>
      </c>
    </row>
    <row r="374" spans="1:9" ht="11.25" customHeight="1">
      <c r="A374" t="s">
        <v>2248</v>
      </c>
      <c r="B374" t="s">
        <v>16</v>
      </c>
      <c r="C374" t="s">
        <v>2845</v>
      </c>
      <c r="D374" t="s">
        <v>2846</v>
      </c>
      <c r="E374" t="s">
        <v>2809</v>
      </c>
      <c r="F374" t="s">
        <v>2715</v>
      </c>
      <c r="G374" t="s">
        <v>2847</v>
      </c>
      <c r="H374" t="s">
        <v>28</v>
      </c>
      <c r="I374" t="s">
        <v>856</v>
      </c>
    </row>
    <row r="375" spans="1:9" ht="11.25" customHeight="1">
      <c r="A375" t="s">
        <v>2248</v>
      </c>
      <c r="B375" t="s">
        <v>16</v>
      </c>
      <c r="C375" t="s">
        <v>2848</v>
      </c>
      <c r="D375" t="s">
        <v>2849</v>
      </c>
      <c r="E375" t="s">
        <v>2303</v>
      </c>
      <c r="F375" t="s">
        <v>2850</v>
      </c>
      <c r="G375" t="s">
        <v>28</v>
      </c>
      <c r="H375" t="s">
        <v>28</v>
      </c>
      <c r="I375" t="s">
        <v>856</v>
      </c>
    </row>
    <row r="376" spans="1:9" ht="11.25" customHeight="1">
      <c r="A376" t="s">
        <v>2248</v>
      </c>
      <c r="B376" t="s">
        <v>16</v>
      </c>
      <c r="C376" t="s">
        <v>2851</v>
      </c>
      <c r="D376" t="s">
        <v>2852</v>
      </c>
      <c r="E376" t="s">
        <v>2303</v>
      </c>
      <c r="F376" t="s">
        <v>2853</v>
      </c>
      <c r="G376" t="s">
        <v>28</v>
      </c>
      <c r="H376" t="s">
        <v>28</v>
      </c>
      <c r="I376" t="s">
        <v>856</v>
      </c>
    </row>
    <row r="377" spans="1:9" ht="11.25" customHeight="1">
      <c r="A377" t="s">
        <v>2248</v>
      </c>
      <c r="B377" t="s">
        <v>16</v>
      </c>
      <c r="C377" t="s">
        <v>2854</v>
      </c>
      <c r="D377" t="s">
        <v>2855</v>
      </c>
      <c r="E377" t="s">
        <v>2303</v>
      </c>
      <c r="F377" t="s">
        <v>2856</v>
      </c>
      <c r="G377" t="s">
        <v>28</v>
      </c>
      <c r="H377" t="s">
        <v>28</v>
      </c>
      <c r="I377" t="s">
        <v>856</v>
      </c>
    </row>
    <row r="378" spans="1:9" ht="11.25" customHeight="1">
      <c r="A378" t="s">
        <v>2248</v>
      </c>
      <c r="B378" t="s">
        <v>16</v>
      </c>
      <c r="C378" t="s">
        <v>2857</v>
      </c>
      <c r="D378" t="s">
        <v>2858</v>
      </c>
      <c r="E378" t="s">
        <v>2609</v>
      </c>
      <c r="F378" t="s">
        <v>2859</v>
      </c>
      <c r="G378" t="s">
        <v>28</v>
      </c>
      <c r="H378" t="s">
        <v>28</v>
      </c>
      <c r="I378" t="s">
        <v>856</v>
      </c>
    </row>
    <row r="379" spans="1:9" ht="11.25" customHeight="1">
      <c r="A379" t="s">
        <v>2248</v>
      </c>
      <c r="B379" t="s">
        <v>16</v>
      </c>
      <c r="C379" t="s">
        <v>2860</v>
      </c>
      <c r="D379" t="s">
        <v>2861</v>
      </c>
      <c r="E379" t="s">
        <v>2609</v>
      </c>
      <c r="F379" t="s">
        <v>2862</v>
      </c>
      <c r="G379" t="s">
        <v>2863</v>
      </c>
      <c r="H379" t="s">
        <v>28</v>
      </c>
      <c r="I379" t="s">
        <v>856</v>
      </c>
    </row>
    <row r="380" spans="1:9" ht="11.25" customHeight="1">
      <c r="A380" t="s">
        <v>2248</v>
      </c>
      <c r="B380" t="s">
        <v>16</v>
      </c>
      <c r="C380" t="s">
        <v>2864</v>
      </c>
      <c r="D380" t="s">
        <v>2865</v>
      </c>
      <c r="E380" t="s">
        <v>2866</v>
      </c>
      <c r="F380" t="s">
        <v>2715</v>
      </c>
      <c r="G380" t="s">
        <v>28</v>
      </c>
      <c r="H380" t="s">
        <v>28</v>
      </c>
      <c r="I380" t="s">
        <v>856</v>
      </c>
    </row>
    <row r="381" spans="1:9" ht="11.25" customHeight="1">
      <c r="A381" t="s">
        <v>2248</v>
      </c>
      <c r="B381" t="s">
        <v>16</v>
      </c>
      <c r="C381" t="s">
        <v>2867</v>
      </c>
      <c r="D381" t="s">
        <v>2868</v>
      </c>
      <c r="E381" t="s">
        <v>2869</v>
      </c>
      <c r="F381" t="s">
        <v>2307</v>
      </c>
      <c r="G381" t="s">
        <v>28</v>
      </c>
      <c r="H381" t="s">
        <v>28</v>
      </c>
      <c r="I381" t="s">
        <v>856</v>
      </c>
    </row>
    <row r="382" spans="1:9" ht="11.25" customHeight="1">
      <c r="A382" t="s">
        <v>2248</v>
      </c>
      <c r="B382" t="s">
        <v>16</v>
      </c>
      <c r="C382" t="s">
        <v>2870</v>
      </c>
      <c r="D382" t="s">
        <v>2871</v>
      </c>
      <c r="E382" t="s">
        <v>2872</v>
      </c>
      <c r="F382" t="s">
        <v>2491</v>
      </c>
      <c r="G382" t="s">
        <v>28</v>
      </c>
      <c r="H382" t="s">
        <v>28</v>
      </c>
      <c r="I382" t="s">
        <v>856</v>
      </c>
    </row>
    <row r="383" spans="1:9" ht="11.25" customHeight="1">
      <c r="A383" t="s">
        <v>2248</v>
      </c>
      <c r="B383" t="s">
        <v>16</v>
      </c>
      <c r="C383" t="s">
        <v>2253</v>
      </c>
      <c r="D383" t="s">
        <v>2254</v>
      </c>
      <c r="E383" t="s">
        <v>2255</v>
      </c>
      <c r="F383" t="s">
        <v>2256</v>
      </c>
      <c r="G383" t="s">
        <v>28</v>
      </c>
      <c r="H383" t="s">
        <v>28</v>
      </c>
      <c r="I383" t="s">
        <v>909</v>
      </c>
    </row>
    <row r="384" spans="1:9" ht="11.25" customHeight="1">
      <c r="A384" t="s">
        <v>2248</v>
      </c>
      <c r="B384" t="s">
        <v>16</v>
      </c>
      <c r="C384" t="s">
        <v>2257</v>
      </c>
      <c r="D384" t="s">
        <v>2258</v>
      </c>
      <c r="E384" t="s">
        <v>2259</v>
      </c>
      <c r="F384" t="s">
        <v>2260</v>
      </c>
      <c r="G384" t="s">
        <v>28</v>
      </c>
      <c r="H384" t="s">
        <v>28</v>
      </c>
      <c r="I384" t="s">
        <v>909</v>
      </c>
    </row>
    <row r="385" spans="1:9" ht="11.25" customHeight="1">
      <c r="A385" t="s">
        <v>2248</v>
      </c>
      <c r="B385" t="s">
        <v>16</v>
      </c>
      <c r="C385" t="s">
        <v>2268</v>
      </c>
      <c r="D385" t="s">
        <v>2269</v>
      </c>
      <c r="E385" t="s">
        <v>2270</v>
      </c>
      <c r="F385" t="s">
        <v>2271</v>
      </c>
      <c r="G385" t="s">
        <v>2272</v>
      </c>
      <c r="H385" t="s">
        <v>28</v>
      </c>
      <c r="I385" t="s">
        <v>909</v>
      </c>
    </row>
    <row r="386" spans="1:9" ht="11.25" customHeight="1">
      <c r="A386" t="s">
        <v>2248</v>
      </c>
      <c r="B386" t="s">
        <v>16</v>
      </c>
      <c r="C386" t="s">
        <v>2879</v>
      </c>
      <c r="D386" t="s">
        <v>2880</v>
      </c>
      <c r="E386" t="s">
        <v>2881</v>
      </c>
      <c r="F386" t="s">
        <v>2315</v>
      </c>
      <c r="G386" t="s">
        <v>2882</v>
      </c>
      <c r="H386" t="s">
        <v>28</v>
      </c>
      <c r="I386" t="s">
        <v>909</v>
      </c>
    </row>
    <row r="387" spans="1:9" ht="11.25" customHeight="1">
      <c r="A387" t="s">
        <v>2248</v>
      </c>
      <c r="B387" t="s">
        <v>16</v>
      </c>
      <c r="C387" t="s">
        <v>2883</v>
      </c>
      <c r="D387" t="s">
        <v>2278</v>
      </c>
      <c r="E387" t="s">
        <v>2279</v>
      </c>
      <c r="F387" t="s">
        <v>2884</v>
      </c>
      <c r="G387" t="s">
        <v>2885</v>
      </c>
      <c r="H387" t="s">
        <v>28</v>
      </c>
      <c r="I387" t="s">
        <v>909</v>
      </c>
    </row>
    <row r="388" spans="1:9" ht="11.25" customHeight="1">
      <c r="A388" t="s">
        <v>2248</v>
      </c>
      <c r="B388" t="s">
        <v>16</v>
      </c>
      <c r="C388" t="s">
        <v>2277</v>
      </c>
      <c r="D388" t="s">
        <v>2278</v>
      </c>
      <c r="E388" t="s">
        <v>2279</v>
      </c>
      <c r="F388" t="s">
        <v>2280</v>
      </c>
      <c r="G388" t="s">
        <v>28</v>
      </c>
      <c r="H388" t="s">
        <v>28</v>
      </c>
      <c r="I388" t="s">
        <v>909</v>
      </c>
    </row>
    <row r="389" spans="1:9" ht="11.25" customHeight="1">
      <c r="A389" t="s">
        <v>2248</v>
      </c>
      <c r="B389" t="s">
        <v>16</v>
      </c>
      <c r="C389" t="s">
        <v>2281</v>
      </c>
      <c r="D389" t="s">
        <v>2282</v>
      </c>
      <c r="E389" t="s">
        <v>2283</v>
      </c>
      <c r="F389" t="s">
        <v>2284</v>
      </c>
      <c r="G389" t="s">
        <v>2285</v>
      </c>
      <c r="H389" t="s">
        <v>28</v>
      </c>
      <c r="I389" t="s">
        <v>909</v>
      </c>
    </row>
    <row r="390" spans="1:9" ht="11.25" customHeight="1">
      <c r="A390" t="s">
        <v>2248</v>
      </c>
      <c r="B390" t="s">
        <v>16</v>
      </c>
      <c r="C390" t="s">
        <v>2296</v>
      </c>
      <c r="D390" t="s">
        <v>2297</v>
      </c>
      <c r="E390" t="s">
        <v>2298</v>
      </c>
      <c r="F390" t="s">
        <v>2299</v>
      </c>
      <c r="G390" t="s">
        <v>2300</v>
      </c>
      <c r="H390" t="s">
        <v>28</v>
      </c>
      <c r="I390" t="s">
        <v>909</v>
      </c>
    </row>
    <row r="391" spans="1:9" ht="11.25" customHeight="1">
      <c r="A391" t="s">
        <v>2248</v>
      </c>
      <c r="B391" t="s">
        <v>16</v>
      </c>
      <c r="C391" t="s">
        <v>2301</v>
      </c>
      <c r="D391" t="s">
        <v>2302</v>
      </c>
      <c r="E391" t="s">
        <v>2303</v>
      </c>
      <c r="F391" t="s">
        <v>2284</v>
      </c>
      <c r="G391" t="s">
        <v>28</v>
      </c>
      <c r="H391" t="s">
        <v>28</v>
      </c>
      <c r="I391" t="s">
        <v>909</v>
      </c>
    </row>
    <row r="392" spans="1:9" ht="11.25" customHeight="1">
      <c r="A392" t="s">
        <v>2248</v>
      </c>
      <c r="B392" t="s">
        <v>16</v>
      </c>
      <c r="C392" t="s">
        <v>2890</v>
      </c>
      <c r="D392" t="s">
        <v>2891</v>
      </c>
      <c r="E392" t="s">
        <v>2892</v>
      </c>
      <c r="F392" t="s">
        <v>2323</v>
      </c>
      <c r="G392" t="s">
        <v>28</v>
      </c>
      <c r="H392" t="s">
        <v>28</v>
      </c>
      <c r="I392" t="s">
        <v>909</v>
      </c>
    </row>
    <row r="393" spans="1:9" ht="11.25" customHeight="1">
      <c r="A393" t="s">
        <v>2248</v>
      </c>
      <c r="B393" t="s">
        <v>16</v>
      </c>
      <c r="C393" t="s">
        <v>2324</v>
      </c>
      <c r="D393" t="s">
        <v>2325</v>
      </c>
      <c r="E393" t="s">
        <v>2326</v>
      </c>
      <c r="F393" t="s">
        <v>2276</v>
      </c>
      <c r="G393" t="s">
        <v>2327</v>
      </c>
      <c r="H393" t="s">
        <v>28</v>
      </c>
      <c r="I393" t="s">
        <v>909</v>
      </c>
    </row>
    <row r="394" spans="1:9" ht="11.25" customHeight="1">
      <c r="A394" t="s">
        <v>2248</v>
      </c>
      <c r="B394" t="s">
        <v>16</v>
      </c>
      <c r="C394" t="s">
        <v>13</v>
      </c>
      <c r="D394" t="s">
        <v>48</v>
      </c>
      <c r="E394" t="s">
        <v>51</v>
      </c>
      <c r="F394" t="s">
        <v>53</v>
      </c>
      <c r="G394" t="s">
        <v>28</v>
      </c>
      <c r="H394" t="s">
        <v>28</v>
      </c>
      <c r="I394" t="s">
        <v>909</v>
      </c>
    </row>
    <row r="395" spans="1:9" ht="11.25" customHeight="1">
      <c r="A395" t="s">
        <v>2248</v>
      </c>
      <c r="B395" t="s">
        <v>16</v>
      </c>
      <c r="C395" t="s">
        <v>2332</v>
      </c>
      <c r="D395" t="s">
        <v>2333</v>
      </c>
      <c r="E395" t="s">
        <v>2334</v>
      </c>
      <c r="F395" t="s">
        <v>2289</v>
      </c>
      <c r="G395" t="s">
        <v>2335</v>
      </c>
      <c r="H395" t="s">
        <v>28</v>
      </c>
      <c r="I395" t="s">
        <v>909</v>
      </c>
    </row>
    <row r="396" spans="1:9" ht="11.25" customHeight="1">
      <c r="A396" t="s">
        <v>2248</v>
      </c>
      <c r="B396" t="s">
        <v>16</v>
      </c>
      <c r="C396" t="s">
        <v>2965</v>
      </c>
      <c r="D396" t="s">
        <v>2966</v>
      </c>
      <c r="E396" t="s">
        <v>2967</v>
      </c>
      <c r="F396" t="s">
        <v>2289</v>
      </c>
      <c r="G396" t="s">
        <v>28</v>
      </c>
      <c r="H396" t="s">
        <v>28</v>
      </c>
      <c r="I396" t="s">
        <v>909</v>
      </c>
    </row>
    <row r="397" spans="1:9" ht="11.25" customHeight="1">
      <c r="A397" t="s">
        <v>2248</v>
      </c>
      <c r="B397" t="s">
        <v>16</v>
      </c>
      <c r="C397" t="s">
        <v>2352</v>
      </c>
      <c r="D397" t="s">
        <v>2353</v>
      </c>
      <c r="E397" t="s">
        <v>2354</v>
      </c>
      <c r="F397" t="s">
        <v>2355</v>
      </c>
      <c r="G397" t="s">
        <v>2356</v>
      </c>
      <c r="H397" t="s">
        <v>28</v>
      </c>
      <c r="I397" t="s">
        <v>909</v>
      </c>
    </row>
    <row r="398" spans="1:9" ht="11.25" customHeight="1">
      <c r="A398" t="s">
        <v>2248</v>
      </c>
      <c r="B398" t="s">
        <v>16</v>
      </c>
      <c r="C398" t="s">
        <v>2364</v>
      </c>
      <c r="D398" t="s">
        <v>2365</v>
      </c>
      <c r="E398" t="s">
        <v>2366</v>
      </c>
      <c r="F398" t="s">
        <v>2367</v>
      </c>
      <c r="G398" t="s">
        <v>28</v>
      </c>
      <c r="H398" t="s">
        <v>28</v>
      </c>
      <c r="I398" t="s">
        <v>909</v>
      </c>
    </row>
    <row r="399" spans="1:9" ht="11.25" customHeight="1">
      <c r="A399" t="s">
        <v>2248</v>
      </c>
      <c r="B399" t="s">
        <v>16</v>
      </c>
      <c r="C399" t="s">
        <v>2394</v>
      </c>
      <c r="D399" t="s">
        <v>2395</v>
      </c>
      <c r="E399" t="s">
        <v>2396</v>
      </c>
      <c r="F399" t="s">
        <v>2397</v>
      </c>
      <c r="G399" t="s">
        <v>28</v>
      </c>
      <c r="H399" t="s">
        <v>28</v>
      </c>
      <c r="I399" t="s">
        <v>909</v>
      </c>
    </row>
    <row r="400" spans="1:9" ht="11.25" customHeight="1">
      <c r="A400" t="s">
        <v>2248</v>
      </c>
      <c r="B400" t="s">
        <v>16</v>
      </c>
      <c r="C400" t="s">
        <v>2406</v>
      </c>
      <c r="D400" t="s">
        <v>2407</v>
      </c>
      <c r="E400" t="s">
        <v>2408</v>
      </c>
      <c r="F400" t="s">
        <v>2409</v>
      </c>
      <c r="G400" t="s">
        <v>2410</v>
      </c>
      <c r="H400" t="s">
        <v>28</v>
      </c>
      <c r="I400" t="s">
        <v>909</v>
      </c>
    </row>
    <row r="401" spans="1:9" ht="11.25" customHeight="1">
      <c r="A401" t="s">
        <v>2248</v>
      </c>
      <c r="B401" t="s">
        <v>16</v>
      </c>
      <c r="C401" t="s">
        <v>2415</v>
      </c>
      <c r="D401" t="s">
        <v>2416</v>
      </c>
      <c r="E401" t="s">
        <v>2417</v>
      </c>
      <c r="F401" t="s">
        <v>2409</v>
      </c>
      <c r="G401" t="s">
        <v>2418</v>
      </c>
      <c r="H401" t="s">
        <v>28</v>
      </c>
      <c r="I401" t="s">
        <v>909</v>
      </c>
    </row>
    <row r="402" spans="1:9" ht="11.25" customHeight="1">
      <c r="A402" t="s">
        <v>2248</v>
      </c>
      <c r="B402" t="s">
        <v>16</v>
      </c>
      <c r="C402" t="s">
        <v>2896</v>
      </c>
      <c r="D402" t="s">
        <v>2897</v>
      </c>
      <c r="E402" t="s">
        <v>2898</v>
      </c>
      <c r="F402" t="s">
        <v>53</v>
      </c>
      <c r="G402" t="s">
        <v>28</v>
      </c>
      <c r="H402" t="s">
        <v>28</v>
      </c>
      <c r="I402" t="s">
        <v>909</v>
      </c>
    </row>
    <row r="403" spans="1:9" ht="11.25" customHeight="1">
      <c r="A403" t="s">
        <v>2248</v>
      </c>
      <c r="B403" t="s">
        <v>16</v>
      </c>
      <c r="C403" t="s">
        <v>2422</v>
      </c>
      <c r="D403" t="s">
        <v>2423</v>
      </c>
      <c r="E403" t="s">
        <v>2424</v>
      </c>
      <c r="F403" t="s">
        <v>2271</v>
      </c>
      <c r="G403" t="s">
        <v>28</v>
      </c>
      <c r="H403" t="s">
        <v>28</v>
      </c>
      <c r="I403" t="s">
        <v>909</v>
      </c>
    </row>
    <row r="404" spans="1:9" ht="11.25" customHeight="1">
      <c r="A404" t="s">
        <v>2248</v>
      </c>
      <c r="B404" t="s">
        <v>16</v>
      </c>
      <c r="C404" t="s">
        <v>2425</v>
      </c>
      <c r="D404" t="s">
        <v>2426</v>
      </c>
      <c r="E404" t="s">
        <v>2427</v>
      </c>
      <c r="F404" t="s">
        <v>2299</v>
      </c>
      <c r="G404" t="s">
        <v>28</v>
      </c>
      <c r="H404" t="s">
        <v>28</v>
      </c>
      <c r="I404" t="s">
        <v>909</v>
      </c>
    </row>
    <row r="405" spans="1:9" ht="11.25" customHeight="1">
      <c r="A405" t="s">
        <v>2248</v>
      </c>
      <c r="B405" t="s">
        <v>16</v>
      </c>
      <c r="C405" t="s">
        <v>2428</v>
      </c>
      <c r="D405" t="s">
        <v>2429</v>
      </c>
      <c r="E405" t="s">
        <v>2430</v>
      </c>
      <c r="F405" t="s">
        <v>2431</v>
      </c>
      <c r="G405" t="s">
        <v>2432</v>
      </c>
      <c r="H405" t="s">
        <v>28</v>
      </c>
      <c r="I405" t="s">
        <v>909</v>
      </c>
    </row>
    <row r="406" spans="1:9" ht="11.25" customHeight="1">
      <c r="A406" t="s">
        <v>2248</v>
      </c>
      <c r="B406" t="s">
        <v>16</v>
      </c>
      <c r="C406" t="s">
        <v>2433</v>
      </c>
      <c r="D406" t="s">
        <v>2434</v>
      </c>
      <c r="E406" t="s">
        <v>2435</v>
      </c>
      <c r="F406" t="s">
        <v>2431</v>
      </c>
      <c r="G406" t="s">
        <v>2436</v>
      </c>
      <c r="H406" t="s">
        <v>28</v>
      </c>
      <c r="I406" t="s">
        <v>909</v>
      </c>
    </row>
    <row r="407" spans="1:9" ht="11.25" customHeight="1">
      <c r="A407" t="s">
        <v>2248</v>
      </c>
      <c r="B407" t="s">
        <v>16</v>
      </c>
      <c r="C407" t="s">
        <v>2443</v>
      </c>
      <c r="D407" t="s">
        <v>2444</v>
      </c>
      <c r="E407" t="s">
        <v>2445</v>
      </c>
      <c r="F407" t="s">
        <v>2299</v>
      </c>
      <c r="G407" t="s">
        <v>2446</v>
      </c>
      <c r="H407" t="s">
        <v>28</v>
      </c>
      <c r="I407" t="s">
        <v>909</v>
      </c>
    </row>
    <row r="408" spans="1:9" ht="11.25" customHeight="1">
      <c r="A408" t="s">
        <v>2248</v>
      </c>
      <c r="B408" t="s">
        <v>16</v>
      </c>
      <c r="C408" t="s">
        <v>2447</v>
      </c>
      <c r="D408" t="s">
        <v>2448</v>
      </c>
      <c r="E408" t="s">
        <v>2449</v>
      </c>
      <c r="F408" t="s">
        <v>2299</v>
      </c>
      <c r="G408" t="s">
        <v>2450</v>
      </c>
      <c r="H408" t="s">
        <v>28</v>
      </c>
      <c r="I408" t="s">
        <v>909</v>
      </c>
    </row>
    <row r="409" spans="1:9" ht="11.25" customHeight="1">
      <c r="A409" t="s">
        <v>2248</v>
      </c>
      <c r="B409" t="s">
        <v>16</v>
      </c>
      <c r="C409" t="s">
        <v>2459</v>
      </c>
      <c r="D409" t="s">
        <v>2460</v>
      </c>
      <c r="E409" t="s">
        <v>2461</v>
      </c>
      <c r="F409" t="s">
        <v>2284</v>
      </c>
      <c r="G409" t="s">
        <v>2462</v>
      </c>
      <c r="H409" t="s">
        <v>28</v>
      </c>
      <c r="I409" t="s">
        <v>909</v>
      </c>
    </row>
    <row r="410" spans="1:9" ht="11.25" customHeight="1">
      <c r="A410" t="s">
        <v>2248</v>
      </c>
      <c r="B410" t="s">
        <v>16</v>
      </c>
      <c r="C410" t="s">
        <v>2463</v>
      </c>
      <c r="D410" t="s">
        <v>2464</v>
      </c>
      <c r="E410" t="s">
        <v>2465</v>
      </c>
      <c r="F410" t="s">
        <v>2466</v>
      </c>
      <c r="G410" t="s">
        <v>28</v>
      </c>
      <c r="H410" t="s">
        <v>28</v>
      </c>
      <c r="I410" t="s">
        <v>909</v>
      </c>
    </row>
    <row r="411" spans="1:9" ht="11.25" customHeight="1">
      <c r="A411" t="s">
        <v>2248</v>
      </c>
      <c r="B411" t="s">
        <v>16</v>
      </c>
      <c r="C411" t="s">
        <v>2467</v>
      </c>
      <c r="D411" t="s">
        <v>2468</v>
      </c>
      <c r="E411" t="s">
        <v>2469</v>
      </c>
      <c r="F411" t="s">
        <v>2409</v>
      </c>
      <c r="G411" t="s">
        <v>28</v>
      </c>
      <c r="H411" t="s">
        <v>28</v>
      </c>
      <c r="I411" t="s">
        <v>909</v>
      </c>
    </row>
    <row r="412" spans="1:9" ht="11.25" customHeight="1">
      <c r="A412" t="s">
        <v>2248</v>
      </c>
      <c r="B412" t="s">
        <v>16</v>
      </c>
      <c r="C412" t="s">
        <v>2470</v>
      </c>
      <c r="D412" t="s">
        <v>2471</v>
      </c>
      <c r="E412" t="s">
        <v>2472</v>
      </c>
      <c r="F412" t="s">
        <v>2473</v>
      </c>
      <c r="G412" t="s">
        <v>28</v>
      </c>
      <c r="H412" t="s">
        <v>28</v>
      </c>
      <c r="I412" t="s">
        <v>909</v>
      </c>
    </row>
    <row r="413" spans="1:9" ht="11.25" customHeight="1">
      <c r="A413" t="s">
        <v>2248</v>
      </c>
      <c r="B413" t="s">
        <v>16</v>
      </c>
      <c r="C413" t="s">
        <v>2474</v>
      </c>
      <c r="D413" t="s">
        <v>2475</v>
      </c>
      <c r="E413" t="s">
        <v>2476</v>
      </c>
      <c r="F413" t="s">
        <v>2409</v>
      </c>
      <c r="G413" t="s">
        <v>28</v>
      </c>
      <c r="H413" t="s">
        <v>28</v>
      </c>
      <c r="I413" t="s">
        <v>909</v>
      </c>
    </row>
    <row r="414" spans="1:9" ht="11.25" customHeight="1">
      <c r="A414" t="s">
        <v>2248</v>
      </c>
      <c r="B414" t="s">
        <v>16</v>
      </c>
      <c r="C414" t="s">
        <v>2477</v>
      </c>
      <c r="D414" t="s">
        <v>2478</v>
      </c>
      <c r="E414" t="s">
        <v>2479</v>
      </c>
      <c r="F414" t="s">
        <v>2480</v>
      </c>
      <c r="G414" t="s">
        <v>28</v>
      </c>
      <c r="H414" t="s">
        <v>28</v>
      </c>
      <c r="I414" t="s">
        <v>909</v>
      </c>
    </row>
    <row r="415" spans="1:9" ht="11.25" customHeight="1">
      <c r="A415" t="s">
        <v>2248</v>
      </c>
      <c r="B415" t="s">
        <v>16</v>
      </c>
      <c r="C415" t="s">
        <v>2481</v>
      </c>
      <c r="D415" t="s">
        <v>2482</v>
      </c>
      <c r="E415" t="s">
        <v>2483</v>
      </c>
      <c r="F415" t="s">
        <v>2256</v>
      </c>
      <c r="G415" t="s">
        <v>2484</v>
      </c>
      <c r="H415" t="s">
        <v>28</v>
      </c>
      <c r="I415" t="s">
        <v>909</v>
      </c>
    </row>
    <row r="416" spans="1:9" ht="11.25" customHeight="1">
      <c r="A416" t="s">
        <v>2248</v>
      </c>
      <c r="B416" t="s">
        <v>16</v>
      </c>
      <c r="C416" t="s">
        <v>2485</v>
      </c>
      <c r="D416" t="s">
        <v>2486</v>
      </c>
      <c r="E416" t="s">
        <v>2487</v>
      </c>
      <c r="F416" t="s">
        <v>2256</v>
      </c>
      <c r="G416" t="s">
        <v>28</v>
      </c>
      <c r="H416" t="s">
        <v>28</v>
      </c>
      <c r="I416" t="s">
        <v>909</v>
      </c>
    </row>
    <row r="417" spans="1:9" ht="11.25" customHeight="1">
      <c r="A417" t="s">
        <v>2248</v>
      </c>
      <c r="B417" t="s">
        <v>16</v>
      </c>
      <c r="C417" t="s">
        <v>2488</v>
      </c>
      <c r="D417" t="s">
        <v>2489</v>
      </c>
      <c r="E417" t="s">
        <v>2490</v>
      </c>
      <c r="F417" t="s">
        <v>2491</v>
      </c>
      <c r="G417" t="s">
        <v>28</v>
      </c>
      <c r="H417" t="s">
        <v>28</v>
      </c>
      <c r="I417" t="s">
        <v>909</v>
      </c>
    </row>
    <row r="418" spans="1:9" ht="11.25" customHeight="1">
      <c r="A418" t="s">
        <v>2248</v>
      </c>
      <c r="B418" t="s">
        <v>16</v>
      </c>
      <c r="C418" t="s">
        <v>2492</v>
      </c>
      <c r="D418" t="s">
        <v>2493</v>
      </c>
      <c r="E418" t="s">
        <v>2494</v>
      </c>
      <c r="F418" t="s">
        <v>2256</v>
      </c>
      <c r="G418" t="s">
        <v>2495</v>
      </c>
      <c r="H418" t="s">
        <v>28</v>
      </c>
      <c r="I418" t="s">
        <v>909</v>
      </c>
    </row>
    <row r="419" spans="1:9" ht="11.25" customHeight="1">
      <c r="A419" t="s">
        <v>2248</v>
      </c>
      <c r="B419" t="s">
        <v>16</v>
      </c>
      <c r="C419" t="s">
        <v>2503</v>
      </c>
      <c r="D419" t="s">
        <v>2504</v>
      </c>
      <c r="E419" t="s">
        <v>2505</v>
      </c>
      <c r="F419" t="s">
        <v>2307</v>
      </c>
      <c r="G419" t="s">
        <v>2506</v>
      </c>
      <c r="H419" t="s">
        <v>28</v>
      </c>
      <c r="I419" t="s">
        <v>909</v>
      </c>
    </row>
    <row r="420" spans="1:9" ht="11.25" customHeight="1">
      <c r="A420" t="s">
        <v>2248</v>
      </c>
      <c r="B420" t="s">
        <v>16</v>
      </c>
      <c r="C420" t="s">
        <v>2507</v>
      </c>
      <c r="D420" t="s">
        <v>2508</v>
      </c>
      <c r="E420" t="s">
        <v>2509</v>
      </c>
      <c r="F420" t="s">
        <v>2276</v>
      </c>
      <c r="G420" t="s">
        <v>2510</v>
      </c>
      <c r="H420" t="s">
        <v>28</v>
      </c>
      <c r="I420" t="s">
        <v>909</v>
      </c>
    </row>
    <row r="421" spans="1:9" ht="11.25" customHeight="1">
      <c r="A421" t="s">
        <v>2248</v>
      </c>
      <c r="B421" t="s">
        <v>16</v>
      </c>
      <c r="C421" t="s">
        <v>2511</v>
      </c>
      <c r="D421" t="s">
        <v>2512</v>
      </c>
      <c r="E421" t="s">
        <v>2513</v>
      </c>
      <c r="F421" t="s">
        <v>2256</v>
      </c>
      <c r="G421" t="s">
        <v>2514</v>
      </c>
      <c r="H421" t="s">
        <v>28</v>
      </c>
      <c r="I421" t="s">
        <v>909</v>
      </c>
    </row>
    <row r="422" spans="1:9" ht="11.25" customHeight="1">
      <c r="A422" t="s">
        <v>2248</v>
      </c>
      <c r="B422" t="s">
        <v>16</v>
      </c>
      <c r="C422" t="s">
        <v>2515</v>
      </c>
      <c r="D422" t="s">
        <v>2516</v>
      </c>
      <c r="E422" t="s">
        <v>2517</v>
      </c>
      <c r="F422" t="s">
        <v>2473</v>
      </c>
      <c r="G422" t="s">
        <v>28</v>
      </c>
      <c r="H422" t="s">
        <v>28</v>
      </c>
      <c r="I422" t="s">
        <v>909</v>
      </c>
    </row>
    <row r="423" spans="1:9" ht="11.25" customHeight="1">
      <c r="A423" t="s">
        <v>2248</v>
      </c>
      <c r="B423" t="s">
        <v>16</v>
      </c>
      <c r="C423" t="s">
        <v>2532</v>
      </c>
      <c r="D423" t="s">
        <v>2533</v>
      </c>
      <c r="E423" t="s">
        <v>2534</v>
      </c>
      <c r="F423" t="s">
        <v>2414</v>
      </c>
      <c r="G423" t="s">
        <v>28</v>
      </c>
      <c r="H423" t="s">
        <v>28</v>
      </c>
      <c r="I423" t="s">
        <v>909</v>
      </c>
    </row>
    <row r="424" spans="1:9" ht="11.25" customHeight="1">
      <c r="A424" t="s">
        <v>2248</v>
      </c>
      <c r="B424" t="s">
        <v>16</v>
      </c>
      <c r="C424" t="s">
        <v>2899</v>
      </c>
      <c r="D424" t="s">
        <v>2900</v>
      </c>
      <c r="E424" t="s">
        <v>2378</v>
      </c>
      <c r="F424" t="s">
        <v>2901</v>
      </c>
      <c r="G424" t="s">
        <v>28</v>
      </c>
      <c r="H424" t="s">
        <v>28</v>
      </c>
      <c r="I424" t="s">
        <v>909</v>
      </c>
    </row>
    <row r="425" spans="1:9" ht="11.25" customHeight="1">
      <c r="A425" t="s">
        <v>2248</v>
      </c>
      <c r="B425" t="s">
        <v>16</v>
      </c>
      <c r="C425" t="s">
        <v>2902</v>
      </c>
      <c r="D425" t="s">
        <v>2903</v>
      </c>
      <c r="E425" t="s">
        <v>2904</v>
      </c>
      <c r="F425" t="s">
        <v>2311</v>
      </c>
      <c r="G425" t="s">
        <v>2905</v>
      </c>
      <c r="H425" t="s">
        <v>28</v>
      </c>
      <c r="I425" t="s">
        <v>909</v>
      </c>
    </row>
    <row r="426" spans="1:9" ht="11.25" customHeight="1">
      <c r="A426" t="s">
        <v>2248</v>
      </c>
      <c r="B426" t="s">
        <v>16</v>
      </c>
      <c r="C426" t="s">
        <v>2549</v>
      </c>
      <c r="D426" t="s">
        <v>2550</v>
      </c>
      <c r="E426" t="s">
        <v>2551</v>
      </c>
      <c r="F426" t="s">
        <v>2552</v>
      </c>
      <c r="G426" t="s">
        <v>2553</v>
      </c>
      <c r="H426" t="s">
        <v>28</v>
      </c>
      <c r="I426" t="s">
        <v>909</v>
      </c>
    </row>
    <row r="427" spans="1:9" ht="11.25" customHeight="1">
      <c r="A427" t="s">
        <v>2248</v>
      </c>
      <c r="B427" t="s">
        <v>16</v>
      </c>
      <c r="C427" t="s">
        <v>2554</v>
      </c>
      <c r="D427" t="s">
        <v>2550</v>
      </c>
      <c r="E427" t="s">
        <v>2551</v>
      </c>
      <c r="F427" t="s">
        <v>2555</v>
      </c>
      <c r="G427" t="s">
        <v>28</v>
      </c>
      <c r="H427" t="s">
        <v>28</v>
      </c>
      <c r="I427" t="s">
        <v>909</v>
      </c>
    </row>
    <row r="428" spans="1:9" ht="11.25" customHeight="1">
      <c r="A428" t="s">
        <v>2248</v>
      </c>
      <c r="B428" t="s">
        <v>16</v>
      </c>
      <c r="C428" t="s">
        <v>2559</v>
      </c>
      <c r="D428" t="s">
        <v>2560</v>
      </c>
      <c r="E428" t="s">
        <v>2251</v>
      </c>
      <c r="F428" t="s">
        <v>2561</v>
      </c>
      <c r="G428" t="s">
        <v>28</v>
      </c>
      <c r="H428" t="s">
        <v>28</v>
      </c>
      <c r="I428" t="s">
        <v>909</v>
      </c>
    </row>
    <row r="429" spans="1:9" ht="11.25" customHeight="1">
      <c r="A429" t="s">
        <v>2248</v>
      </c>
      <c r="B429" t="s">
        <v>16</v>
      </c>
      <c r="C429" t="s">
        <v>2562</v>
      </c>
      <c r="D429" t="s">
        <v>2563</v>
      </c>
      <c r="E429" t="s">
        <v>2251</v>
      </c>
      <c r="F429" t="s">
        <v>2564</v>
      </c>
      <c r="G429" t="s">
        <v>28</v>
      </c>
      <c r="H429" t="s">
        <v>28</v>
      </c>
      <c r="I429" t="s">
        <v>909</v>
      </c>
    </row>
    <row r="430" spans="1:9" ht="11.25" customHeight="1">
      <c r="A430" t="s">
        <v>2248</v>
      </c>
      <c r="B430" t="s">
        <v>16</v>
      </c>
      <c r="C430" t="s">
        <v>2565</v>
      </c>
      <c r="D430" t="s">
        <v>2566</v>
      </c>
      <c r="E430" t="s">
        <v>2251</v>
      </c>
      <c r="F430" t="s">
        <v>2567</v>
      </c>
      <c r="G430" t="s">
        <v>28</v>
      </c>
      <c r="H430" t="s">
        <v>28</v>
      </c>
      <c r="I430" t="s">
        <v>909</v>
      </c>
    </row>
    <row r="431" spans="1:9" ht="11.25" customHeight="1">
      <c r="A431" t="s">
        <v>2248</v>
      </c>
      <c r="B431" t="s">
        <v>16</v>
      </c>
      <c r="C431" t="s">
        <v>2568</v>
      </c>
      <c r="D431" t="s">
        <v>2569</v>
      </c>
      <c r="E431" t="s">
        <v>2251</v>
      </c>
      <c r="F431" t="s">
        <v>2570</v>
      </c>
      <c r="G431" t="s">
        <v>28</v>
      </c>
      <c r="H431" t="s">
        <v>28</v>
      </c>
      <c r="I431" t="s">
        <v>909</v>
      </c>
    </row>
    <row r="432" spans="1:9" ht="11.25" customHeight="1">
      <c r="A432" t="s">
        <v>2248</v>
      </c>
      <c r="B432" t="s">
        <v>16</v>
      </c>
      <c r="C432" t="s">
        <v>2571</v>
      </c>
      <c r="D432" t="s">
        <v>2572</v>
      </c>
      <c r="E432" t="s">
        <v>2251</v>
      </c>
      <c r="F432" t="s">
        <v>2573</v>
      </c>
      <c r="G432" t="s">
        <v>28</v>
      </c>
      <c r="H432" t="s">
        <v>28</v>
      </c>
      <c r="I432" t="s">
        <v>909</v>
      </c>
    </row>
    <row r="433" spans="1:9" ht="11.25" customHeight="1">
      <c r="A433" t="s">
        <v>2248</v>
      </c>
      <c r="B433" t="s">
        <v>16</v>
      </c>
      <c r="C433" t="s">
        <v>2574</v>
      </c>
      <c r="D433" t="s">
        <v>2575</v>
      </c>
      <c r="E433" t="s">
        <v>2251</v>
      </c>
      <c r="F433" t="s">
        <v>2576</v>
      </c>
      <c r="G433" t="s">
        <v>28</v>
      </c>
      <c r="H433" t="s">
        <v>28</v>
      </c>
      <c r="I433" t="s">
        <v>909</v>
      </c>
    </row>
    <row r="434" spans="1:9" ht="11.25" customHeight="1">
      <c r="A434" t="s">
        <v>2248</v>
      </c>
      <c r="B434" t="s">
        <v>16</v>
      </c>
      <c r="C434" t="s">
        <v>2577</v>
      </c>
      <c r="D434" t="s">
        <v>2578</v>
      </c>
      <c r="E434" t="s">
        <v>2251</v>
      </c>
      <c r="F434" t="s">
        <v>2579</v>
      </c>
      <c r="G434" t="s">
        <v>28</v>
      </c>
      <c r="H434" t="s">
        <v>28</v>
      </c>
      <c r="I434" t="s">
        <v>909</v>
      </c>
    </row>
    <row r="435" spans="1:9" ht="11.25" customHeight="1">
      <c r="A435" t="s">
        <v>2248</v>
      </c>
      <c r="B435" t="s">
        <v>16</v>
      </c>
      <c r="C435" t="s">
        <v>2580</v>
      </c>
      <c r="D435" t="s">
        <v>2581</v>
      </c>
      <c r="E435" t="s">
        <v>2251</v>
      </c>
      <c r="F435" t="s">
        <v>2582</v>
      </c>
      <c r="G435" t="s">
        <v>28</v>
      </c>
      <c r="H435" t="s">
        <v>28</v>
      </c>
      <c r="I435" t="s">
        <v>909</v>
      </c>
    </row>
    <row r="436" spans="1:9" ht="11.25" customHeight="1">
      <c r="A436" t="s">
        <v>2248</v>
      </c>
      <c r="B436" t="s">
        <v>16</v>
      </c>
      <c r="C436" t="s">
        <v>2583</v>
      </c>
      <c r="D436" t="s">
        <v>2584</v>
      </c>
      <c r="E436" t="s">
        <v>2251</v>
      </c>
      <c r="F436" t="s">
        <v>2585</v>
      </c>
      <c r="G436" t="s">
        <v>28</v>
      </c>
      <c r="H436" t="s">
        <v>28</v>
      </c>
      <c r="I436" t="s">
        <v>909</v>
      </c>
    </row>
    <row r="437" spans="1:9" ht="11.25" customHeight="1">
      <c r="A437" t="s">
        <v>2248</v>
      </c>
      <c r="B437" t="s">
        <v>16</v>
      </c>
      <c r="C437" t="s">
        <v>2586</v>
      </c>
      <c r="D437" t="s">
        <v>2587</v>
      </c>
      <c r="E437" t="s">
        <v>2588</v>
      </c>
      <c r="F437" t="s">
        <v>2589</v>
      </c>
      <c r="G437" t="s">
        <v>28</v>
      </c>
      <c r="H437" t="s">
        <v>28</v>
      </c>
      <c r="I437" t="s">
        <v>909</v>
      </c>
    </row>
    <row r="438" spans="1:9" ht="11.25" customHeight="1">
      <c r="A438" t="s">
        <v>2248</v>
      </c>
      <c r="B438" t="s">
        <v>16</v>
      </c>
      <c r="C438" t="s">
        <v>2590</v>
      </c>
      <c r="D438" t="s">
        <v>2591</v>
      </c>
      <c r="E438" t="s">
        <v>2588</v>
      </c>
      <c r="F438" t="s">
        <v>2592</v>
      </c>
      <c r="G438" t="s">
        <v>28</v>
      </c>
      <c r="H438" t="s">
        <v>28</v>
      </c>
      <c r="I438" t="s">
        <v>909</v>
      </c>
    </row>
    <row r="439" spans="1:9" ht="11.25" customHeight="1">
      <c r="A439" t="s">
        <v>2248</v>
      </c>
      <c r="B439" t="s">
        <v>16</v>
      </c>
      <c r="C439" t="s">
        <v>2593</v>
      </c>
      <c r="D439" t="s">
        <v>2594</v>
      </c>
      <c r="E439" t="s">
        <v>2588</v>
      </c>
      <c r="F439" t="s">
        <v>2595</v>
      </c>
      <c r="G439" t="s">
        <v>28</v>
      </c>
      <c r="H439" t="s">
        <v>28</v>
      </c>
      <c r="I439" t="s">
        <v>909</v>
      </c>
    </row>
    <row r="440" spans="1:9" ht="11.25" customHeight="1">
      <c r="A440" t="s">
        <v>2248</v>
      </c>
      <c r="B440" t="s">
        <v>16</v>
      </c>
      <c r="C440" t="s">
        <v>2596</v>
      </c>
      <c r="D440" t="s">
        <v>2597</v>
      </c>
      <c r="E440" t="s">
        <v>2598</v>
      </c>
      <c r="F440" t="s">
        <v>2599</v>
      </c>
      <c r="G440" t="s">
        <v>2600</v>
      </c>
      <c r="H440" t="s">
        <v>28</v>
      </c>
      <c r="I440" t="s">
        <v>909</v>
      </c>
    </row>
    <row r="441" spans="1:9" ht="11.25" customHeight="1">
      <c r="A441" t="s">
        <v>2248</v>
      </c>
      <c r="B441" t="s">
        <v>16</v>
      </c>
      <c r="C441" t="s">
        <v>2601</v>
      </c>
      <c r="D441" t="s">
        <v>2602</v>
      </c>
      <c r="E441" t="s">
        <v>2603</v>
      </c>
      <c r="F441" t="s">
        <v>2284</v>
      </c>
      <c r="G441" t="s">
        <v>28</v>
      </c>
      <c r="H441" t="s">
        <v>28</v>
      </c>
      <c r="I441" t="s">
        <v>909</v>
      </c>
    </row>
    <row r="442" spans="1:9" ht="11.25" customHeight="1">
      <c r="A442" t="s">
        <v>2248</v>
      </c>
      <c r="B442" t="s">
        <v>16</v>
      </c>
      <c r="C442" t="s">
        <v>2610</v>
      </c>
      <c r="D442" t="s">
        <v>2611</v>
      </c>
      <c r="E442" t="s">
        <v>2259</v>
      </c>
      <c r="F442" t="s">
        <v>2612</v>
      </c>
      <c r="G442" t="s">
        <v>28</v>
      </c>
      <c r="H442" t="s">
        <v>28</v>
      </c>
      <c r="I442" t="s">
        <v>909</v>
      </c>
    </row>
    <row r="443" spans="1:9" ht="11.25" customHeight="1">
      <c r="A443" t="s">
        <v>2248</v>
      </c>
      <c r="B443" t="s">
        <v>16</v>
      </c>
      <c r="C443" t="s">
        <v>2906</v>
      </c>
      <c r="D443" t="s">
        <v>2907</v>
      </c>
      <c r="E443" t="s">
        <v>2259</v>
      </c>
      <c r="F443" t="s">
        <v>2908</v>
      </c>
      <c r="G443" t="s">
        <v>28</v>
      </c>
      <c r="H443" t="s">
        <v>28</v>
      </c>
      <c r="I443" t="s">
        <v>909</v>
      </c>
    </row>
    <row r="444" spans="1:9" ht="11.25" customHeight="1">
      <c r="A444" t="s">
        <v>2248</v>
      </c>
      <c r="B444" t="s">
        <v>16</v>
      </c>
      <c r="C444" t="s">
        <v>2615</v>
      </c>
      <c r="D444" t="s">
        <v>2616</v>
      </c>
      <c r="E444" t="s">
        <v>2617</v>
      </c>
      <c r="F444" t="s">
        <v>2618</v>
      </c>
      <c r="G444" t="s">
        <v>28</v>
      </c>
      <c r="H444" t="s">
        <v>28</v>
      </c>
      <c r="I444" t="s">
        <v>909</v>
      </c>
    </row>
    <row r="445" spans="1:9" ht="11.25" customHeight="1">
      <c r="A445" t="s">
        <v>2248</v>
      </c>
      <c r="B445" t="s">
        <v>16</v>
      </c>
      <c r="C445" t="s">
        <v>2619</v>
      </c>
      <c r="D445" t="s">
        <v>2616</v>
      </c>
      <c r="E445" t="s">
        <v>2617</v>
      </c>
      <c r="F445" t="s">
        <v>2620</v>
      </c>
      <c r="G445" t="s">
        <v>2621</v>
      </c>
      <c r="H445" t="s">
        <v>28</v>
      </c>
      <c r="I445" t="s">
        <v>909</v>
      </c>
    </row>
    <row r="446" spans="1:9" ht="11.25" customHeight="1">
      <c r="A446" t="s">
        <v>2248</v>
      </c>
      <c r="B446" t="s">
        <v>16</v>
      </c>
      <c r="C446" t="s">
        <v>2626</v>
      </c>
      <c r="D446" t="s">
        <v>2627</v>
      </c>
      <c r="E446" t="s">
        <v>2628</v>
      </c>
      <c r="F446" t="s">
        <v>2307</v>
      </c>
      <c r="G446" t="s">
        <v>28</v>
      </c>
      <c r="H446" t="s">
        <v>28</v>
      </c>
      <c r="I446" t="s">
        <v>909</v>
      </c>
    </row>
    <row r="447" spans="1:9" ht="11.25" customHeight="1">
      <c r="A447" t="s">
        <v>2248</v>
      </c>
      <c r="B447" t="s">
        <v>16</v>
      </c>
      <c r="C447" t="s">
        <v>2629</v>
      </c>
      <c r="D447" t="s">
        <v>2630</v>
      </c>
      <c r="E447" t="s">
        <v>2631</v>
      </c>
      <c r="F447" t="s">
        <v>2295</v>
      </c>
      <c r="G447" t="s">
        <v>28</v>
      </c>
      <c r="H447" t="s">
        <v>28</v>
      </c>
      <c r="I447" t="s">
        <v>909</v>
      </c>
    </row>
    <row r="448" spans="1:9" ht="11.25" customHeight="1">
      <c r="A448" t="s">
        <v>2248</v>
      </c>
      <c r="B448" t="s">
        <v>16</v>
      </c>
      <c r="C448" t="s">
        <v>2632</v>
      </c>
      <c r="D448" t="s">
        <v>2633</v>
      </c>
      <c r="E448" t="s">
        <v>2634</v>
      </c>
      <c r="F448" t="s">
        <v>2339</v>
      </c>
      <c r="G448" t="s">
        <v>28</v>
      </c>
      <c r="H448" t="s">
        <v>28</v>
      </c>
      <c r="I448" t="s">
        <v>909</v>
      </c>
    </row>
    <row r="449" spans="1:9" ht="11.25" customHeight="1">
      <c r="A449" t="s">
        <v>2248</v>
      </c>
      <c r="B449" t="s">
        <v>16</v>
      </c>
      <c r="C449" t="s">
        <v>2641</v>
      </c>
      <c r="D449" t="s">
        <v>2642</v>
      </c>
      <c r="E449" t="s">
        <v>2643</v>
      </c>
      <c r="F449" t="s">
        <v>2256</v>
      </c>
      <c r="G449" t="s">
        <v>2644</v>
      </c>
      <c r="H449" t="s">
        <v>28</v>
      </c>
      <c r="I449" t="s">
        <v>909</v>
      </c>
    </row>
    <row r="450" spans="1:9" ht="11.25" customHeight="1">
      <c r="A450" t="s">
        <v>2248</v>
      </c>
      <c r="B450" t="s">
        <v>16</v>
      </c>
      <c r="C450" t="s">
        <v>2645</v>
      </c>
      <c r="D450" t="s">
        <v>2646</v>
      </c>
      <c r="E450" t="s">
        <v>2647</v>
      </c>
      <c r="F450" t="s">
        <v>2648</v>
      </c>
      <c r="G450" t="s">
        <v>28</v>
      </c>
      <c r="H450" t="s">
        <v>28</v>
      </c>
      <c r="I450" t="s">
        <v>909</v>
      </c>
    </row>
    <row r="451" spans="1:9" ht="11.25" customHeight="1">
      <c r="A451" t="s">
        <v>2248</v>
      </c>
      <c r="B451" t="s">
        <v>16</v>
      </c>
      <c r="C451" t="s">
        <v>2649</v>
      </c>
      <c r="D451" t="s">
        <v>2650</v>
      </c>
      <c r="E451" t="s">
        <v>2651</v>
      </c>
      <c r="F451" t="s">
        <v>2289</v>
      </c>
      <c r="G451" t="s">
        <v>2652</v>
      </c>
      <c r="H451" t="s">
        <v>28</v>
      </c>
      <c r="I451" t="s">
        <v>909</v>
      </c>
    </row>
    <row r="452" spans="1:9" ht="11.25" customHeight="1">
      <c r="A452" t="s">
        <v>2248</v>
      </c>
      <c r="B452" t="s">
        <v>16</v>
      </c>
      <c r="C452" t="s">
        <v>2653</v>
      </c>
      <c r="D452" t="s">
        <v>2654</v>
      </c>
      <c r="E452" t="s">
        <v>2655</v>
      </c>
      <c r="F452" t="s">
        <v>2466</v>
      </c>
      <c r="G452" t="s">
        <v>28</v>
      </c>
      <c r="H452" t="s">
        <v>28</v>
      </c>
      <c r="I452" t="s">
        <v>909</v>
      </c>
    </row>
    <row r="453" spans="1:9" ht="11.25" customHeight="1">
      <c r="A453" t="s">
        <v>2248</v>
      </c>
      <c r="B453" t="s">
        <v>16</v>
      </c>
      <c r="C453" t="s">
        <v>2915</v>
      </c>
      <c r="D453" t="s">
        <v>2916</v>
      </c>
      <c r="E453" t="s">
        <v>2917</v>
      </c>
      <c r="F453" t="s">
        <v>2307</v>
      </c>
      <c r="G453" t="s">
        <v>28</v>
      </c>
      <c r="H453" t="s">
        <v>28</v>
      </c>
      <c r="I453" t="s">
        <v>909</v>
      </c>
    </row>
    <row r="454" spans="1:9" ht="11.25" customHeight="1">
      <c r="A454" t="s">
        <v>2248</v>
      </c>
      <c r="B454" t="s">
        <v>16</v>
      </c>
      <c r="C454" t="s">
        <v>2666</v>
      </c>
      <c r="D454" t="s">
        <v>2667</v>
      </c>
      <c r="E454" t="s">
        <v>2668</v>
      </c>
      <c r="F454" t="s">
        <v>2466</v>
      </c>
      <c r="G454" t="s">
        <v>28</v>
      </c>
      <c r="H454" t="s">
        <v>28</v>
      </c>
      <c r="I454" t="s">
        <v>909</v>
      </c>
    </row>
    <row r="455" spans="1:9" ht="11.25" customHeight="1">
      <c r="A455" t="s">
        <v>2248</v>
      </c>
      <c r="B455" t="s">
        <v>16</v>
      </c>
      <c r="C455" t="s">
        <v>2669</v>
      </c>
      <c r="D455" t="s">
        <v>2670</v>
      </c>
      <c r="E455" t="s">
        <v>2671</v>
      </c>
      <c r="F455" t="s">
        <v>2648</v>
      </c>
      <c r="G455" t="s">
        <v>28</v>
      </c>
      <c r="H455" t="s">
        <v>28</v>
      </c>
      <c r="I455" t="s">
        <v>909</v>
      </c>
    </row>
    <row r="456" spans="1:9" ht="11.25" customHeight="1">
      <c r="A456" t="s">
        <v>2248</v>
      </c>
      <c r="B456" t="s">
        <v>16</v>
      </c>
      <c r="C456" t="s">
        <v>2682</v>
      </c>
      <c r="D456" t="s">
        <v>2683</v>
      </c>
      <c r="E456" t="s">
        <v>2684</v>
      </c>
      <c r="F456" t="s">
        <v>2685</v>
      </c>
      <c r="G456" t="s">
        <v>2686</v>
      </c>
      <c r="H456" t="s">
        <v>28</v>
      </c>
      <c r="I456" t="s">
        <v>909</v>
      </c>
    </row>
    <row r="457" spans="1:9" ht="11.25" customHeight="1">
      <c r="A457" t="s">
        <v>2248</v>
      </c>
      <c r="B457" t="s">
        <v>16</v>
      </c>
      <c r="C457" t="s">
        <v>2687</v>
      </c>
      <c r="D457" t="s">
        <v>2688</v>
      </c>
      <c r="E457" t="s">
        <v>2689</v>
      </c>
      <c r="F457" t="s">
        <v>2648</v>
      </c>
      <c r="G457" t="s">
        <v>28</v>
      </c>
      <c r="H457" t="s">
        <v>28</v>
      </c>
      <c r="I457" t="s">
        <v>909</v>
      </c>
    </row>
    <row r="458" spans="1:9" ht="11.25" customHeight="1">
      <c r="A458" t="s">
        <v>2248</v>
      </c>
      <c r="B458" t="s">
        <v>16</v>
      </c>
      <c r="C458" t="s">
        <v>2700</v>
      </c>
      <c r="D458" t="s">
        <v>2701</v>
      </c>
      <c r="E458" t="s">
        <v>2251</v>
      </c>
      <c r="F458" t="s">
        <v>2702</v>
      </c>
      <c r="G458" t="s">
        <v>28</v>
      </c>
      <c r="H458" t="s">
        <v>28</v>
      </c>
      <c r="I458" t="s">
        <v>909</v>
      </c>
    </row>
    <row r="459" spans="1:9" ht="11.25" customHeight="1">
      <c r="A459" t="s">
        <v>2248</v>
      </c>
      <c r="B459" t="s">
        <v>16</v>
      </c>
      <c r="C459" t="s">
        <v>2918</v>
      </c>
      <c r="D459" t="s">
        <v>2919</v>
      </c>
      <c r="E459" t="s">
        <v>2396</v>
      </c>
      <c r="F459" t="s">
        <v>2920</v>
      </c>
      <c r="G459" t="s">
        <v>28</v>
      </c>
      <c r="H459" t="s">
        <v>28</v>
      </c>
      <c r="I459" t="s">
        <v>909</v>
      </c>
    </row>
    <row r="460" spans="1:9" ht="11.25" customHeight="1">
      <c r="A460" t="s">
        <v>2248</v>
      </c>
      <c r="B460" t="s">
        <v>16</v>
      </c>
      <c r="C460" t="s">
        <v>2921</v>
      </c>
      <c r="D460" t="s">
        <v>2922</v>
      </c>
      <c r="E460" t="s">
        <v>2396</v>
      </c>
      <c r="F460" t="s">
        <v>2289</v>
      </c>
      <c r="G460" t="s">
        <v>28</v>
      </c>
      <c r="H460" t="s">
        <v>28</v>
      </c>
      <c r="I460" t="s">
        <v>909</v>
      </c>
    </row>
    <row r="461" spans="1:9" ht="11.25" customHeight="1">
      <c r="A461" t="s">
        <v>2248</v>
      </c>
      <c r="B461" t="s">
        <v>16</v>
      </c>
      <c r="C461" t="s">
        <v>2712</v>
      </c>
      <c r="D461" t="s">
        <v>2713</v>
      </c>
      <c r="E461" t="s">
        <v>2714</v>
      </c>
      <c r="F461" t="s">
        <v>2715</v>
      </c>
      <c r="G461" t="s">
        <v>2716</v>
      </c>
      <c r="H461" t="s">
        <v>28</v>
      </c>
      <c r="I461" t="s">
        <v>909</v>
      </c>
    </row>
    <row r="462" spans="1:9" ht="11.25" customHeight="1">
      <c r="A462" t="s">
        <v>2248</v>
      </c>
      <c r="B462" t="s">
        <v>16</v>
      </c>
      <c r="C462" t="s">
        <v>2727</v>
      </c>
      <c r="D462" t="s">
        <v>2728</v>
      </c>
      <c r="E462" t="s">
        <v>2729</v>
      </c>
      <c r="F462" t="s">
        <v>2350</v>
      </c>
      <c r="G462" t="s">
        <v>28</v>
      </c>
      <c r="H462" t="s">
        <v>28</v>
      </c>
      <c r="I462" t="s">
        <v>909</v>
      </c>
    </row>
    <row r="463" spans="1:9" ht="11.25" customHeight="1">
      <c r="A463" t="s">
        <v>2248</v>
      </c>
      <c r="B463" t="s">
        <v>16</v>
      </c>
      <c r="C463" t="s">
        <v>2968</v>
      </c>
      <c r="D463" t="s">
        <v>2969</v>
      </c>
      <c r="E463" t="s">
        <v>2970</v>
      </c>
      <c r="F463" t="s">
        <v>2307</v>
      </c>
      <c r="G463" t="s">
        <v>28</v>
      </c>
      <c r="H463" t="s">
        <v>28</v>
      </c>
      <c r="I463" t="s">
        <v>909</v>
      </c>
    </row>
    <row r="464" spans="1:9" ht="11.25" customHeight="1">
      <c r="A464" t="s">
        <v>2248</v>
      </c>
      <c r="B464" t="s">
        <v>16</v>
      </c>
      <c r="C464" t="s">
        <v>2748</v>
      </c>
      <c r="D464" t="s">
        <v>2749</v>
      </c>
      <c r="E464" t="s">
        <v>2750</v>
      </c>
      <c r="F464" t="s">
        <v>2350</v>
      </c>
      <c r="G464" t="s">
        <v>28</v>
      </c>
      <c r="H464" t="s">
        <v>28</v>
      </c>
      <c r="I464" t="s">
        <v>909</v>
      </c>
    </row>
    <row r="465" spans="1:9" ht="11.25" customHeight="1">
      <c r="A465" t="s">
        <v>2248</v>
      </c>
      <c r="B465" t="s">
        <v>16</v>
      </c>
      <c r="C465" t="s">
        <v>2755</v>
      </c>
      <c r="D465" t="s">
        <v>2756</v>
      </c>
      <c r="E465" t="s">
        <v>2757</v>
      </c>
      <c r="F465" t="s">
        <v>2350</v>
      </c>
      <c r="G465" t="s">
        <v>28</v>
      </c>
      <c r="H465" t="s">
        <v>28</v>
      </c>
      <c r="I465" t="s">
        <v>909</v>
      </c>
    </row>
    <row r="466" spans="1:9" ht="11.25" customHeight="1">
      <c r="A466" t="s">
        <v>2248</v>
      </c>
      <c r="B466" t="s">
        <v>16</v>
      </c>
      <c r="C466" t="s">
        <v>2758</v>
      </c>
      <c r="D466" t="s">
        <v>2759</v>
      </c>
      <c r="E466" t="s">
        <v>2617</v>
      </c>
      <c r="F466" t="s">
        <v>2760</v>
      </c>
      <c r="G466" t="s">
        <v>28</v>
      </c>
      <c r="H466" t="s">
        <v>28</v>
      </c>
      <c r="I466" t="s">
        <v>909</v>
      </c>
    </row>
    <row r="467" spans="1:9" ht="11.25" customHeight="1">
      <c r="A467" t="s">
        <v>2248</v>
      </c>
      <c r="B467" t="s">
        <v>16</v>
      </c>
      <c r="C467" t="s">
        <v>2765</v>
      </c>
      <c r="D467" t="s">
        <v>2766</v>
      </c>
      <c r="E467" t="s">
        <v>2767</v>
      </c>
      <c r="F467" t="s">
        <v>2319</v>
      </c>
      <c r="G467" t="s">
        <v>28</v>
      </c>
      <c r="H467" t="s">
        <v>28</v>
      </c>
      <c r="I467" t="s">
        <v>909</v>
      </c>
    </row>
    <row r="468" spans="1:9" ht="11.25" customHeight="1">
      <c r="A468" t="s">
        <v>2248</v>
      </c>
      <c r="B468" t="s">
        <v>16</v>
      </c>
      <c r="C468" t="s">
        <v>2929</v>
      </c>
      <c r="D468" t="s">
        <v>2930</v>
      </c>
      <c r="E468" t="s">
        <v>2931</v>
      </c>
      <c r="F468" t="s">
        <v>2284</v>
      </c>
      <c r="G468" t="s">
        <v>28</v>
      </c>
      <c r="H468" t="s">
        <v>28</v>
      </c>
      <c r="I468" t="s">
        <v>909</v>
      </c>
    </row>
    <row r="469" spans="1:9" ht="11.25" customHeight="1">
      <c r="A469" t="s">
        <v>2248</v>
      </c>
      <c r="B469" t="s">
        <v>16</v>
      </c>
      <c r="C469" t="s">
        <v>2768</v>
      </c>
      <c r="D469" t="s">
        <v>2769</v>
      </c>
      <c r="E469" t="s">
        <v>2770</v>
      </c>
      <c r="F469" t="s">
        <v>2307</v>
      </c>
      <c r="G469" t="s">
        <v>2771</v>
      </c>
      <c r="H469" t="s">
        <v>28</v>
      </c>
      <c r="I469" t="s">
        <v>909</v>
      </c>
    </row>
    <row r="470" spans="1:9" ht="11.25" customHeight="1">
      <c r="A470" t="s">
        <v>2248</v>
      </c>
      <c r="B470" t="s">
        <v>16</v>
      </c>
      <c r="C470" t="s">
        <v>2935</v>
      </c>
      <c r="D470" t="s">
        <v>2936</v>
      </c>
      <c r="E470" t="s">
        <v>2937</v>
      </c>
      <c r="F470" t="s">
        <v>2938</v>
      </c>
      <c r="G470" t="s">
        <v>28</v>
      </c>
      <c r="H470" t="s">
        <v>28</v>
      </c>
      <c r="I470" t="s">
        <v>909</v>
      </c>
    </row>
    <row r="471" spans="1:9" ht="11.25" customHeight="1">
      <c r="A471" t="s">
        <v>2248</v>
      </c>
      <c r="B471" t="s">
        <v>16</v>
      </c>
      <c r="C471" t="s">
        <v>2942</v>
      </c>
      <c r="D471" t="s">
        <v>2943</v>
      </c>
      <c r="E471" t="s">
        <v>2944</v>
      </c>
      <c r="F471" t="s">
        <v>2299</v>
      </c>
      <c r="G471" t="s">
        <v>28</v>
      </c>
      <c r="H471" t="s">
        <v>28</v>
      </c>
      <c r="I471" t="s">
        <v>909</v>
      </c>
    </row>
    <row r="472" spans="1:9" ht="11.25" customHeight="1">
      <c r="A472" t="s">
        <v>2248</v>
      </c>
      <c r="B472" t="s">
        <v>16</v>
      </c>
      <c r="C472" t="s">
        <v>2971</v>
      </c>
      <c r="D472" t="s">
        <v>2972</v>
      </c>
      <c r="E472" t="s">
        <v>2973</v>
      </c>
      <c r="F472" t="s">
        <v>2311</v>
      </c>
      <c r="G472" t="s">
        <v>28</v>
      </c>
      <c r="H472" t="s">
        <v>28</v>
      </c>
      <c r="I472" t="s">
        <v>909</v>
      </c>
    </row>
    <row r="473" spans="1:9" ht="11.25" customHeight="1">
      <c r="A473" t="s">
        <v>2248</v>
      </c>
      <c r="B473" t="s">
        <v>16</v>
      </c>
      <c r="C473" t="s">
        <v>2788</v>
      </c>
      <c r="D473" t="s">
        <v>2789</v>
      </c>
      <c r="E473" t="s">
        <v>2790</v>
      </c>
      <c r="F473" t="s">
        <v>2791</v>
      </c>
      <c r="G473" t="s">
        <v>28</v>
      </c>
      <c r="H473" t="s">
        <v>28</v>
      </c>
      <c r="I473" t="s">
        <v>909</v>
      </c>
    </row>
    <row r="474" spans="1:9" ht="11.25" customHeight="1">
      <c r="A474" t="s">
        <v>2248</v>
      </c>
      <c r="B474" t="s">
        <v>16</v>
      </c>
      <c r="C474" t="s">
        <v>2945</v>
      </c>
      <c r="D474" t="s">
        <v>2946</v>
      </c>
      <c r="E474" t="s">
        <v>2947</v>
      </c>
      <c r="F474" t="s">
        <v>2289</v>
      </c>
      <c r="G474" t="s">
        <v>2948</v>
      </c>
      <c r="H474" t="s">
        <v>28</v>
      </c>
      <c r="I474" t="s">
        <v>909</v>
      </c>
    </row>
    <row r="475" spans="1:9" ht="11.25" customHeight="1">
      <c r="A475" t="s">
        <v>2248</v>
      </c>
      <c r="B475" t="s">
        <v>16</v>
      </c>
      <c r="C475" t="s">
        <v>2792</v>
      </c>
      <c r="D475" t="s">
        <v>2793</v>
      </c>
      <c r="E475" t="s">
        <v>2794</v>
      </c>
      <c r="F475" t="s">
        <v>2289</v>
      </c>
      <c r="G475" t="s">
        <v>28</v>
      </c>
      <c r="H475" t="s">
        <v>28</v>
      </c>
      <c r="I475" t="s">
        <v>909</v>
      </c>
    </row>
    <row r="476" spans="1:9" ht="11.25" customHeight="1">
      <c r="A476" t="s">
        <v>2248</v>
      </c>
      <c r="B476" t="s">
        <v>16</v>
      </c>
      <c r="C476" t="s">
        <v>2798</v>
      </c>
      <c r="D476" t="s">
        <v>2799</v>
      </c>
      <c r="E476" t="s">
        <v>2800</v>
      </c>
      <c r="F476" t="s">
        <v>2339</v>
      </c>
      <c r="G476" t="s">
        <v>2801</v>
      </c>
      <c r="H476" t="s">
        <v>28</v>
      </c>
      <c r="I476" t="s">
        <v>909</v>
      </c>
    </row>
    <row r="477" spans="1:9" ht="11.25" customHeight="1">
      <c r="A477" t="s">
        <v>2248</v>
      </c>
      <c r="B477" t="s">
        <v>16</v>
      </c>
      <c r="C477" t="s">
        <v>2810</v>
      </c>
      <c r="D477" t="s">
        <v>2811</v>
      </c>
      <c r="E477" t="s">
        <v>2812</v>
      </c>
      <c r="F477" t="s">
        <v>2648</v>
      </c>
      <c r="G477" t="s">
        <v>2813</v>
      </c>
      <c r="H477" t="s">
        <v>28</v>
      </c>
      <c r="I477" t="s">
        <v>909</v>
      </c>
    </row>
    <row r="478" spans="1:9" ht="11.25" customHeight="1">
      <c r="A478" t="s">
        <v>2248</v>
      </c>
      <c r="B478" t="s">
        <v>16</v>
      </c>
      <c r="C478" t="s">
        <v>2955</v>
      </c>
      <c r="D478" t="s">
        <v>2956</v>
      </c>
      <c r="E478" t="s">
        <v>2957</v>
      </c>
      <c r="F478" t="s">
        <v>2466</v>
      </c>
      <c r="G478" t="s">
        <v>28</v>
      </c>
      <c r="H478" t="s">
        <v>28</v>
      </c>
      <c r="I478" t="s">
        <v>909</v>
      </c>
    </row>
    <row r="479" spans="1:9" ht="11.25" customHeight="1">
      <c r="A479" t="s">
        <v>2248</v>
      </c>
      <c r="B479" t="s">
        <v>16</v>
      </c>
      <c r="C479" t="s">
        <v>28</v>
      </c>
      <c r="D479" t="s">
        <v>2821</v>
      </c>
      <c r="E479" t="s">
        <v>2822</v>
      </c>
      <c r="F479" t="s">
        <v>53</v>
      </c>
      <c r="G479" t="s">
        <v>28</v>
      </c>
      <c r="H479" t="s">
        <v>28</v>
      </c>
      <c r="I479" t="s">
        <v>909</v>
      </c>
    </row>
    <row r="480" spans="1:9" ht="11.25" customHeight="1">
      <c r="A480" t="s">
        <v>2248</v>
      </c>
      <c r="B480" t="s">
        <v>16</v>
      </c>
      <c r="C480" t="s">
        <v>28</v>
      </c>
      <c r="D480" t="s">
        <v>2823</v>
      </c>
      <c r="E480" t="s">
        <v>2824</v>
      </c>
      <c r="F480" t="s">
        <v>2319</v>
      </c>
      <c r="G480" t="s">
        <v>28</v>
      </c>
      <c r="H480" t="s">
        <v>28</v>
      </c>
      <c r="I480" t="s">
        <v>909</v>
      </c>
    </row>
    <row r="481" spans="1:9" ht="11.25" customHeight="1">
      <c r="A481" t="s">
        <v>2248</v>
      </c>
      <c r="B481" t="s">
        <v>16</v>
      </c>
      <c r="C481" t="s">
        <v>2958</v>
      </c>
      <c r="D481" t="s">
        <v>2959</v>
      </c>
      <c r="E481" t="s">
        <v>2259</v>
      </c>
      <c r="F481" t="s">
        <v>2960</v>
      </c>
      <c r="G481" t="s">
        <v>28</v>
      </c>
      <c r="H481" t="s">
        <v>28</v>
      </c>
      <c r="I481" t="s">
        <v>909</v>
      </c>
    </row>
    <row r="482" spans="1:9" ht="11.25" customHeight="1">
      <c r="A482" t="s">
        <v>2248</v>
      </c>
      <c r="B482" t="s">
        <v>16</v>
      </c>
      <c r="C482" t="s">
        <v>2961</v>
      </c>
      <c r="D482" t="s">
        <v>2962</v>
      </c>
      <c r="E482" t="s">
        <v>2963</v>
      </c>
      <c r="F482" t="s">
        <v>2289</v>
      </c>
      <c r="G482" t="s">
        <v>2964</v>
      </c>
      <c r="H482" t="s">
        <v>28</v>
      </c>
      <c r="I482" t="s">
        <v>909</v>
      </c>
    </row>
    <row r="483" spans="1:9" ht="11.25" customHeight="1">
      <c r="A483" t="s">
        <v>2248</v>
      </c>
      <c r="B483" t="s">
        <v>16</v>
      </c>
      <c r="C483" t="s">
        <v>2834</v>
      </c>
      <c r="D483" t="s">
        <v>2835</v>
      </c>
      <c r="E483" t="s">
        <v>2836</v>
      </c>
      <c r="F483" t="s">
        <v>2289</v>
      </c>
      <c r="G483" t="s">
        <v>28</v>
      </c>
      <c r="H483" t="s">
        <v>28</v>
      </c>
      <c r="I483" t="s">
        <v>909</v>
      </c>
    </row>
    <row r="484" spans="1:9" ht="11.25" customHeight="1">
      <c r="A484" t="s">
        <v>2248</v>
      </c>
      <c r="B484" t="s">
        <v>16</v>
      </c>
      <c r="C484" t="s">
        <v>2837</v>
      </c>
      <c r="D484" t="s">
        <v>2838</v>
      </c>
      <c r="E484" t="s">
        <v>2588</v>
      </c>
      <c r="F484" t="s">
        <v>2839</v>
      </c>
      <c r="G484" t="s">
        <v>28</v>
      </c>
      <c r="H484" t="s">
        <v>28</v>
      </c>
      <c r="I484" t="s">
        <v>909</v>
      </c>
    </row>
    <row r="485" spans="1:9" ht="11.25" customHeight="1">
      <c r="A485" t="s">
        <v>2248</v>
      </c>
      <c r="B485" t="s">
        <v>16</v>
      </c>
      <c r="C485" t="s">
        <v>2840</v>
      </c>
      <c r="D485" t="s">
        <v>2841</v>
      </c>
      <c r="E485" t="s">
        <v>2534</v>
      </c>
      <c r="F485" t="s">
        <v>2612</v>
      </c>
      <c r="G485" t="s">
        <v>28</v>
      </c>
      <c r="H485" t="s">
        <v>28</v>
      </c>
      <c r="I485" t="s">
        <v>909</v>
      </c>
    </row>
    <row r="486" spans="1:9" ht="11.25" customHeight="1">
      <c r="A486" t="s">
        <v>2248</v>
      </c>
      <c r="B486" t="s">
        <v>16</v>
      </c>
      <c r="C486" t="s">
        <v>2854</v>
      </c>
      <c r="D486" t="s">
        <v>2855</v>
      </c>
      <c r="E486" t="s">
        <v>2303</v>
      </c>
      <c r="F486" t="s">
        <v>2856</v>
      </c>
      <c r="G486" t="s">
        <v>28</v>
      </c>
      <c r="H486" t="s">
        <v>28</v>
      </c>
      <c r="I486" t="s">
        <v>909</v>
      </c>
    </row>
    <row r="487" spans="1:9" ht="11.25" customHeight="1">
      <c r="A487" t="s">
        <v>2248</v>
      </c>
      <c r="B487" t="s">
        <v>16</v>
      </c>
      <c r="C487" t="s">
        <v>2860</v>
      </c>
      <c r="D487" t="s">
        <v>2861</v>
      </c>
      <c r="E487" t="s">
        <v>2609</v>
      </c>
      <c r="F487" t="s">
        <v>2862</v>
      </c>
      <c r="G487" t="s">
        <v>2863</v>
      </c>
      <c r="H487" t="s">
        <v>28</v>
      </c>
      <c r="I487" t="s">
        <v>909</v>
      </c>
    </row>
    <row r="488" spans="1:9" ht="11.25" customHeight="1">
      <c r="A488" t="s">
        <v>2248</v>
      </c>
      <c r="B488" t="s">
        <v>16</v>
      </c>
      <c r="C488" t="s">
        <v>2864</v>
      </c>
      <c r="D488" t="s">
        <v>2865</v>
      </c>
      <c r="E488" t="s">
        <v>2866</v>
      </c>
      <c r="F488" t="s">
        <v>2715</v>
      </c>
      <c r="G488" t="s">
        <v>28</v>
      </c>
      <c r="H488" t="s">
        <v>28</v>
      </c>
      <c r="I488" t="s">
        <v>909</v>
      </c>
    </row>
    <row r="489" spans="1:9" ht="11.25" customHeight="1">
      <c r="A489" t="s">
        <v>2248</v>
      </c>
      <c r="B489" t="s">
        <v>16</v>
      </c>
      <c r="C489" t="s">
        <v>2268</v>
      </c>
      <c r="D489" t="s">
        <v>2269</v>
      </c>
      <c r="E489" t="s">
        <v>2270</v>
      </c>
      <c r="F489" t="s">
        <v>2271</v>
      </c>
      <c r="G489" t="s">
        <v>2272</v>
      </c>
      <c r="H489" t="s">
        <v>28</v>
      </c>
      <c r="I489" t="s">
        <v>1621</v>
      </c>
    </row>
    <row r="490" spans="1:9" ht="11.25" customHeight="1">
      <c r="A490" t="s">
        <v>2248</v>
      </c>
      <c r="B490" t="s">
        <v>16</v>
      </c>
      <c r="C490" t="s">
        <v>2324</v>
      </c>
      <c r="D490" t="s">
        <v>2325</v>
      </c>
      <c r="E490" t="s">
        <v>2326</v>
      </c>
      <c r="F490" t="s">
        <v>2276</v>
      </c>
      <c r="G490" t="s">
        <v>2327</v>
      </c>
      <c r="H490" t="s">
        <v>28</v>
      </c>
      <c r="I490" t="s">
        <v>1621</v>
      </c>
    </row>
    <row r="491" spans="1:9" ht="11.25" customHeight="1">
      <c r="A491" t="s">
        <v>2248</v>
      </c>
      <c r="B491" t="s">
        <v>16</v>
      </c>
      <c r="C491" t="s">
        <v>2974</v>
      </c>
      <c r="D491" t="s">
        <v>2975</v>
      </c>
      <c r="E491" t="s">
        <v>2976</v>
      </c>
      <c r="F491" t="s">
        <v>53</v>
      </c>
      <c r="G491" t="s">
        <v>2977</v>
      </c>
      <c r="H491" t="s">
        <v>28</v>
      </c>
      <c r="I491" t="s">
        <v>1621</v>
      </c>
    </row>
    <row r="492" spans="1:9" ht="11.25" customHeight="1">
      <c r="A492" t="s">
        <v>2248</v>
      </c>
      <c r="B492" t="s">
        <v>16</v>
      </c>
      <c r="C492" t="s">
        <v>2978</v>
      </c>
      <c r="D492" t="s">
        <v>2979</v>
      </c>
      <c r="E492" t="s">
        <v>2980</v>
      </c>
      <c r="F492" t="s">
        <v>2409</v>
      </c>
      <c r="G492" t="s">
        <v>2981</v>
      </c>
      <c r="H492" t="s">
        <v>28</v>
      </c>
      <c r="I492" t="s">
        <v>1621</v>
      </c>
    </row>
    <row r="493" spans="1:9" ht="11.25" customHeight="1">
      <c r="A493" t="s">
        <v>2248</v>
      </c>
      <c r="B493" t="s">
        <v>16</v>
      </c>
      <c r="C493" t="s">
        <v>2982</v>
      </c>
      <c r="D493" t="s">
        <v>2983</v>
      </c>
      <c r="E493" t="s">
        <v>2984</v>
      </c>
      <c r="F493" t="s">
        <v>53</v>
      </c>
      <c r="G493" t="s">
        <v>28</v>
      </c>
      <c r="H493" t="s">
        <v>28</v>
      </c>
      <c r="I493" t="s">
        <v>1621</v>
      </c>
    </row>
    <row r="494" spans="1:9" ht="11.25" customHeight="1">
      <c r="A494" t="s">
        <v>2248</v>
      </c>
      <c r="B494" t="s">
        <v>16</v>
      </c>
      <c r="C494" t="s">
        <v>2985</v>
      </c>
      <c r="D494" t="s">
        <v>2986</v>
      </c>
      <c r="E494" t="s">
        <v>2987</v>
      </c>
      <c r="F494" t="s">
        <v>53</v>
      </c>
      <c r="G494" t="s">
        <v>28</v>
      </c>
      <c r="H494" t="s">
        <v>28</v>
      </c>
      <c r="I494" t="s">
        <v>1621</v>
      </c>
    </row>
    <row r="495" spans="1:9" ht="11.25" customHeight="1">
      <c r="A495" t="s">
        <v>2248</v>
      </c>
      <c r="B495" t="s">
        <v>16</v>
      </c>
      <c r="C495" t="s">
        <v>2428</v>
      </c>
      <c r="D495" t="s">
        <v>2429</v>
      </c>
      <c r="E495" t="s">
        <v>2430</v>
      </c>
      <c r="F495" t="s">
        <v>2431</v>
      </c>
      <c r="G495" t="s">
        <v>2432</v>
      </c>
      <c r="H495" t="s">
        <v>28</v>
      </c>
      <c r="I495" t="s">
        <v>1621</v>
      </c>
    </row>
    <row r="496" spans="1:9" ht="11.25" customHeight="1">
      <c r="A496" t="s">
        <v>2248</v>
      </c>
      <c r="B496" t="s">
        <v>16</v>
      </c>
      <c r="C496" t="s">
        <v>2988</v>
      </c>
      <c r="D496" t="s">
        <v>2989</v>
      </c>
      <c r="E496" t="s">
        <v>2990</v>
      </c>
      <c r="F496" t="s">
        <v>2299</v>
      </c>
      <c r="G496" t="s">
        <v>2991</v>
      </c>
      <c r="H496" t="s">
        <v>28</v>
      </c>
      <c r="I496" t="s">
        <v>1621</v>
      </c>
    </row>
    <row r="497" spans="1:9" ht="11.25" customHeight="1">
      <c r="A497" t="s">
        <v>2248</v>
      </c>
      <c r="B497" t="s">
        <v>16</v>
      </c>
      <c r="C497" t="s">
        <v>2454</v>
      </c>
      <c r="D497" t="s">
        <v>2455</v>
      </c>
      <c r="E497" t="s">
        <v>2456</v>
      </c>
      <c r="F497" t="s">
        <v>2457</v>
      </c>
      <c r="G497" t="s">
        <v>2458</v>
      </c>
      <c r="H497" t="s">
        <v>28</v>
      </c>
      <c r="I497" t="s">
        <v>1621</v>
      </c>
    </row>
    <row r="498" spans="1:9" ht="11.25" customHeight="1">
      <c r="A498" t="s">
        <v>2248</v>
      </c>
      <c r="B498" t="s">
        <v>16</v>
      </c>
      <c r="C498" t="s">
        <v>2459</v>
      </c>
      <c r="D498" t="s">
        <v>2460</v>
      </c>
      <c r="E498" t="s">
        <v>2461</v>
      </c>
      <c r="F498" t="s">
        <v>2284</v>
      </c>
      <c r="G498" t="s">
        <v>2462</v>
      </c>
      <c r="H498" t="s">
        <v>28</v>
      </c>
      <c r="I498" t="s">
        <v>1621</v>
      </c>
    </row>
    <row r="499" spans="1:9" ht="11.25" customHeight="1">
      <c r="A499" t="s">
        <v>2248</v>
      </c>
      <c r="B499" t="s">
        <v>16</v>
      </c>
      <c r="C499" t="s">
        <v>2992</v>
      </c>
      <c r="D499" t="s">
        <v>2993</v>
      </c>
      <c r="E499" t="s">
        <v>2994</v>
      </c>
      <c r="F499" t="s">
        <v>2409</v>
      </c>
      <c r="G499" t="s">
        <v>28</v>
      </c>
      <c r="H499" t="s">
        <v>28</v>
      </c>
      <c r="I499" t="s">
        <v>1621</v>
      </c>
    </row>
    <row r="500" spans="1:9" ht="11.25" customHeight="1">
      <c r="A500" t="s">
        <v>2248</v>
      </c>
      <c r="B500" t="s">
        <v>16</v>
      </c>
      <c r="C500" t="s">
        <v>2477</v>
      </c>
      <c r="D500" t="s">
        <v>2478</v>
      </c>
      <c r="E500" t="s">
        <v>2479</v>
      </c>
      <c r="F500" t="s">
        <v>2480</v>
      </c>
      <c r="G500" t="s">
        <v>28</v>
      </c>
      <c r="H500" t="s">
        <v>28</v>
      </c>
      <c r="I500" t="s">
        <v>1621</v>
      </c>
    </row>
    <row r="501" spans="1:9" ht="11.25" customHeight="1">
      <c r="A501" t="s">
        <v>2248</v>
      </c>
      <c r="B501" t="s">
        <v>16</v>
      </c>
      <c r="C501" t="s">
        <v>2500</v>
      </c>
      <c r="D501" t="s">
        <v>2501</v>
      </c>
      <c r="E501" t="s">
        <v>2502</v>
      </c>
      <c r="F501" t="s">
        <v>2256</v>
      </c>
      <c r="G501" t="s">
        <v>2495</v>
      </c>
      <c r="H501" t="s">
        <v>28</v>
      </c>
      <c r="I501" t="s">
        <v>1621</v>
      </c>
    </row>
    <row r="502" spans="1:9" ht="11.25" customHeight="1">
      <c r="A502" t="s">
        <v>2248</v>
      </c>
      <c r="B502" t="s">
        <v>16</v>
      </c>
      <c r="C502" t="s">
        <v>2511</v>
      </c>
      <c r="D502" t="s">
        <v>2512</v>
      </c>
      <c r="E502" t="s">
        <v>2513</v>
      </c>
      <c r="F502" t="s">
        <v>2256</v>
      </c>
      <c r="G502" t="s">
        <v>2514</v>
      </c>
      <c r="H502" t="s">
        <v>28</v>
      </c>
      <c r="I502" t="s">
        <v>1621</v>
      </c>
    </row>
    <row r="503" spans="1:9" ht="11.25" customHeight="1">
      <c r="A503" t="s">
        <v>2248</v>
      </c>
      <c r="B503" t="s">
        <v>16</v>
      </c>
      <c r="C503" t="s">
        <v>2995</v>
      </c>
      <c r="D503" t="s">
        <v>2996</v>
      </c>
      <c r="E503" t="s">
        <v>2997</v>
      </c>
      <c r="F503" t="s">
        <v>2350</v>
      </c>
      <c r="G503" t="s">
        <v>28</v>
      </c>
      <c r="H503" t="s">
        <v>28</v>
      </c>
      <c r="I503" t="s">
        <v>1621</v>
      </c>
    </row>
    <row r="504" spans="1:9" ht="11.25" customHeight="1">
      <c r="A504" t="s">
        <v>2248</v>
      </c>
      <c r="B504" t="s">
        <v>16</v>
      </c>
      <c r="C504" t="s">
        <v>2998</v>
      </c>
      <c r="D504" t="s">
        <v>2999</v>
      </c>
      <c r="E504" t="s">
        <v>3000</v>
      </c>
      <c r="F504" t="s">
        <v>2466</v>
      </c>
      <c r="G504" t="s">
        <v>28</v>
      </c>
      <c r="H504" t="s">
        <v>28</v>
      </c>
      <c r="I504" t="s">
        <v>1621</v>
      </c>
    </row>
    <row r="505" spans="1:9" ht="11.25" customHeight="1">
      <c r="A505" t="s">
        <v>2248</v>
      </c>
      <c r="B505" t="s">
        <v>16</v>
      </c>
      <c r="C505" t="s">
        <v>2601</v>
      </c>
      <c r="D505" t="s">
        <v>2602</v>
      </c>
      <c r="E505" t="s">
        <v>2603</v>
      </c>
      <c r="F505" t="s">
        <v>2284</v>
      </c>
      <c r="G505" t="s">
        <v>28</v>
      </c>
      <c r="H505" t="s">
        <v>28</v>
      </c>
      <c r="I505" t="s">
        <v>1621</v>
      </c>
    </row>
    <row r="506" spans="1:9" ht="11.25" customHeight="1">
      <c r="A506" t="s">
        <v>2248</v>
      </c>
      <c r="B506" t="s">
        <v>16</v>
      </c>
      <c r="C506" t="s">
        <v>3001</v>
      </c>
      <c r="D506" t="s">
        <v>3002</v>
      </c>
      <c r="E506" t="s">
        <v>3003</v>
      </c>
      <c r="F506" t="s">
        <v>3004</v>
      </c>
      <c r="G506" t="s">
        <v>28</v>
      </c>
      <c r="H506" t="s">
        <v>28</v>
      </c>
      <c r="I506" t="s">
        <v>1621</v>
      </c>
    </row>
    <row r="507" spans="1:9" ht="11.25" customHeight="1">
      <c r="A507" t="s">
        <v>2248</v>
      </c>
      <c r="B507" t="s">
        <v>16</v>
      </c>
      <c r="C507" t="s">
        <v>2645</v>
      </c>
      <c r="D507" t="s">
        <v>2646</v>
      </c>
      <c r="E507" t="s">
        <v>2647</v>
      </c>
      <c r="F507" t="s">
        <v>2648</v>
      </c>
      <c r="G507" t="s">
        <v>28</v>
      </c>
      <c r="H507" t="s">
        <v>28</v>
      </c>
      <c r="I507" t="s">
        <v>1621</v>
      </c>
    </row>
    <row r="508" spans="1:9" ht="11.25" customHeight="1">
      <c r="A508" t="s">
        <v>2248</v>
      </c>
      <c r="B508" t="s">
        <v>16</v>
      </c>
      <c r="C508" t="s">
        <v>3005</v>
      </c>
      <c r="D508" t="s">
        <v>3006</v>
      </c>
      <c r="E508" t="s">
        <v>3007</v>
      </c>
      <c r="F508" t="s">
        <v>2315</v>
      </c>
      <c r="G508" t="s">
        <v>28</v>
      </c>
      <c r="H508" t="s">
        <v>28</v>
      </c>
      <c r="I508" t="s">
        <v>1621</v>
      </c>
    </row>
    <row r="509" spans="1:9" ht="11.25" customHeight="1">
      <c r="A509" t="s">
        <v>2248</v>
      </c>
      <c r="B509" t="s">
        <v>16</v>
      </c>
      <c r="C509" t="s">
        <v>3008</v>
      </c>
      <c r="D509" t="s">
        <v>3009</v>
      </c>
      <c r="E509" t="s">
        <v>3010</v>
      </c>
      <c r="F509" t="s">
        <v>2299</v>
      </c>
      <c r="G509" t="s">
        <v>3011</v>
      </c>
      <c r="H509" t="s">
        <v>28</v>
      </c>
      <c r="I509" t="s">
        <v>1621</v>
      </c>
    </row>
    <row r="510" spans="1:9" ht="11.25" customHeight="1">
      <c r="A510" t="s">
        <v>2248</v>
      </c>
      <c r="B510" t="s">
        <v>16</v>
      </c>
      <c r="C510" t="s">
        <v>3012</v>
      </c>
      <c r="D510" t="s">
        <v>3013</v>
      </c>
      <c r="E510" t="s">
        <v>3014</v>
      </c>
      <c r="F510" t="s">
        <v>2299</v>
      </c>
      <c r="G510" t="s">
        <v>3011</v>
      </c>
      <c r="H510" t="s">
        <v>28</v>
      </c>
      <c r="I510" t="s">
        <v>1621</v>
      </c>
    </row>
    <row r="511" spans="1:9" ht="11.25" customHeight="1">
      <c r="A511" t="s">
        <v>2248</v>
      </c>
      <c r="B511" t="s">
        <v>16</v>
      </c>
      <c r="C511" t="s">
        <v>3015</v>
      </c>
      <c r="D511" t="s">
        <v>3016</v>
      </c>
      <c r="E511" t="s">
        <v>3017</v>
      </c>
      <c r="F511" t="s">
        <v>2280</v>
      </c>
      <c r="G511" t="s">
        <v>3018</v>
      </c>
      <c r="H511" t="s">
        <v>28</v>
      </c>
      <c r="I511" t="s">
        <v>1621</v>
      </c>
    </row>
    <row r="512" spans="1:9" ht="11.25" customHeight="1">
      <c r="A512" t="s">
        <v>2248</v>
      </c>
      <c r="B512" t="s">
        <v>16</v>
      </c>
      <c r="C512" t="s">
        <v>3019</v>
      </c>
      <c r="D512" t="s">
        <v>3020</v>
      </c>
      <c r="E512" t="s">
        <v>3021</v>
      </c>
      <c r="F512" t="s">
        <v>2289</v>
      </c>
      <c r="G512" t="s">
        <v>3022</v>
      </c>
      <c r="H512" t="s">
        <v>28</v>
      </c>
      <c r="I512" t="s">
        <v>1621</v>
      </c>
    </row>
    <row r="513" spans="1:9" ht="11.25" customHeight="1">
      <c r="A513" t="s">
        <v>2248</v>
      </c>
      <c r="B513" t="s">
        <v>16</v>
      </c>
      <c r="C513" t="s">
        <v>3023</v>
      </c>
      <c r="D513" t="s">
        <v>3024</v>
      </c>
      <c r="E513" t="s">
        <v>3025</v>
      </c>
      <c r="F513" t="s">
        <v>53</v>
      </c>
      <c r="G513" t="s">
        <v>28</v>
      </c>
      <c r="H513" t="s">
        <v>28</v>
      </c>
      <c r="I513" t="s">
        <v>1621</v>
      </c>
    </row>
    <row r="514" spans="1:9" ht="11.25" customHeight="1">
      <c r="A514" t="s">
        <v>2248</v>
      </c>
      <c r="B514" t="s">
        <v>16</v>
      </c>
      <c r="C514" t="s">
        <v>3026</v>
      </c>
      <c r="D514" t="s">
        <v>3027</v>
      </c>
      <c r="E514" t="s">
        <v>3028</v>
      </c>
      <c r="F514" t="s">
        <v>53</v>
      </c>
      <c r="G514" t="s">
        <v>28</v>
      </c>
      <c r="H514" t="s">
        <v>28</v>
      </c>
      <c r="I514" t="s">
        <v>1621</v>
      </c>
    </row>
    <row r="515" spans="1:9" ht="11.25" customHeight="1">
      <c r="A515" t="s">
        <v>2248</v>
      </c>
      <c r="B515" t="s">
        <v>16</v>
      </c>
      <c r="C515" t="s">
        <v>3029</v>
      </c>
      <c r="D515" t="s">
        <v>3030</v>
      </c>
      <c r="E515" t="s">
        <v>3031</v>
      </c>
      <c r="F515" t="s">
        <v>53</v>
      </c>
      <c r="G515" t="s">
        <v>28</v>
      </c>
      <c r="H515" t="s">
        <v>28</v>
      </c>
      <c r="I515" t="s">
        <v>1621</v>
      </c>
    </row>
    <row r="516" spans="1:9" ht="11.25" customHeight="1">
      <c r="A516" t="s">
        <v>2248</v>
      </c>
      <c r="B516" t="s">
        <v>16</v>
      </c>
      <c r="C516" t="s">
        <v>3032</v>
      </c>
      <c r="D516" t="s">
        <v>3033</v>
      </c>
      <c r="E516" t="s">
        <v>3034</v>
      </c>
      <c r="F516" t="s">
        <v>2457</v>
      </c>
      <c r="G516" t="s">
        <v>3035</v>
      </c>
      <c r="H516" t="s">
        <v>28</v>
      </c>
      <c r="I516" t="s">
        <v>1621</v>
      </c>
    </row>
    <row r="517" spans="1:9" ht="11.25" customHeight="1">
      <c r="A517" t="s">
        <v>2248</v>
      </c>
      <c r="B517" t="s">
        <v>16</v>
      </c>
      <c r="C517" t="s">
        <v>3036</v>
      </c>
      <c r="D517" t="s">
        <v>3037</v>
      </c>
      <c r="E517" t="s">
        <v>3038</v>
      </c>
      <c r="F517" t="s">
        <v>2284</v>
      </c>
      <c r="G517" t="s">
        <v>28</v>
      </c>
      <c r="H517" t="s">
        <v>28</v>
      </c>
      <c r="I517" t="s">
        <v>1621</v>
      </c>
    </row>
    <row r="518" spans="1:9" ht="11.25" customHeight="1">
      <c r="A518" t="s">
        <v>2248</v>
      </c>
      <c r="B518" t="s">
        <v>16</v>
      </c>
      <c r="C518" t="s">
        <v>3039</v>
      </c>
      <c r="D518" t="s">
        <v>3040</v>
      </c>
      <c r="E518" t="s">
        <v>3041</v>
      </c>
      <c r="F518" t="s">
        <v>2289</v>
      </c>
      <c r="G518" t="s">
        <v>3042</v>
      </c>
      <c r="H518" t="s">
        <v>28</v>
      </c>
      <c r="I518" t="s">
        <v>1621</v>
      </c>
    </row>
    <row r="519" spans="1:9" ht="11.25" customHeight="1">
      <c r="A519" t="s">
        <v>2248</v>
      </c>
      <c r="B519" t="s">
        <v>16</v>
      </c>
      <c r="C519" t="s">
        <v>3043</v>
      </c>
      <c r="D519" t="s">
        <v>3044</v>
      </c>
      <c r="E519" t="s">
        <v>3045</v>
      </c>
      <c r="F519" t="s">
        <v>2473</v>
      </c>
      <c r="G519" t="s">
        <v>3046</v>
      </c>
      <c r="H519" t="s">
        <v>28</v>
      </c>
      <c r="I519" t="s">
        <v>1621</v>
      </c>
    </row>
    <row r="520" spans="1:9" ht="11.25" customHeight="1">
      <c r="A520" t="s">
        <v>2248</v>
      </c>
      <c r="B520" t="s">
        <v>16</v>
      </c>
      <c r="C520" t="s">
        <v>3047</v>
      </c>
      <c r="D520" t="s">
        <v>3048</v>
      </c>
      <c r="E520" t="s">
        <v>3049</v>
      </c>
      <c r="F520" t="s">
        <v>3050</v>
      </c>
      <c r="G520" t="s">
        <v>3018</v>
      </c>
      <c r="H520" t="s">
        <v>28</v>
      </c>
      <c r="I520" t="s">
        <v>1621</v>
      </c>
    </row>
    <row r="521" spans="1:9" ht="11.25" customHeight="1">
      <c r="A521" t="s">
        <v>2248</v>
      </c>
      <c r="B521" t="s">
        <v>16</v>
      </c>
      <c r="C521" t="s">
        <v>3051</v>
      </c>
      <c r="D521" t="s">
        <v>3052</v>
      </c>
      <c r="E521" t="s">
        <v>3053</v>
      </c>
      <c r="F521" t="s">
        <v>53</v>
      </c>
      <c r="G521" t="s">
        <v>3054</v>
      </c>
      <c r="H521" t="s">
        <v>28</v>
      </c>
      <c r="I521" t="s">
        <v>1621</v>
      </c>
    </row>
    <row r="522" spans="1:9" ht="11.25" customHeight="1">
      <c r="A522" t="s">
        <v>2248</v>
      </c>
      <c r="B522" t="s">
        <v>16</v>
      </c>
      <c r="C522" t="s">
        <v>3055</v>
      </c>
      <c r="D522" t="s">
        <v>3056</v>
      </c>
      <c r="E522" t="s">
        <v>3057</v>
      </c>
      <c r="F522" t="s">
        <v>3058</v>
      </c>
      <c r="G522" t="s">
        <v>3059</v>
      </c>
      <c r="H522" t="s">
        <v>28</v>
      </c>
      <c r="I522" t="s">
        <v>1621</v>
      </c>
    </row>
    <row r="523" spans="1:9" ht="11.25" customHeight="1">
      <c r="A523" t="s">
        <v>2248</v>
      </c>
      <c r="B523" t="s">
        <v>16</v>
      </c>
      <c r="C523" t="s">
        <v>3060</v>
      </c>
      <c r="D523" t="s">
        <v>3061</v>
      </c>
      <c r="E523" t="s">
        <v>3017</v>
      </c>
      <c r="F523" t="s">
        <v>3062</v>
      </c>
      <c r="G523" t="s">
        <v>3018</v>
      </c>
      <c r="H523" t="s">
        <v>28</v>
      </c>
      <c r="I523" t="s">
        <v>1621</v>
      </c>
    </row>
    <row r="524" spans="1:9" ht="11.25" customHeight="1">
      <c r="A524" t="s">
        <v>2248</v>
      </c>
      <c r="B524" t="s">
        <v>16</v>
      </c>
      <c r="C524" t="s">
        <v>3063</v>
      </c>
      <c r="D524" t="s">
        <v>3064</v>
      </c>
      <c r="E524" t="s">
        <v>3065</v>
      </c>
      <c r="F524" t="s">
        <v>2284</v>
      </c>
      <c r="G524" t="s">
        <v>3066</v>
      </c>
      <c r="H524" t="s">
        <v>28</v>
      </c>
      <c r="I524" t="s">
        <v>1621</v>
      </c>
    </row>
    <row r="525" spans="1:9" ht="11.25" customHeight="1">
      <c r="A525" t="s">
        <v>2248</v>
      </c>
      <c r="B525" t="s">
        <v>16</v>
      </c>
      <c r="C525" t="s">
        <v>3067</v>
      </c>
      <c r="D525" t="s">
        <v>3068</v>
      </c>
      <c r="E525" t="s">
        <v>3069</v>
      </c>
      <c r="F525" t="s">
        <v>2409</v>
      </c>
      <c r="G525" t="s">
        <v>3070</v>
      </c>
      <c r="H525" t="s">
        <v>28</v>
      </c>
      <c r="I525" t="s">
        <v>1621</v>
      </c>
    </row>
    <row r="526" spans="1:9" ht="11.25" customHeight="1">
      <c r="A526" t="s">
        <v>2248</v>
      </c>
      <c r="B526" t="s">
        <v>16</v>
      </c>
      <c r="C526" t="s">
        <v>3071</v>
      </c>
      <c r="D526" t="s">
        <v>3072</v>
      </c>
      <c r="E526" t="s">
        <v>3073</v>
      </c>
      <c r="F526" t="s">
        <v>53</v>
      </c>
      <c r="G526" t="s">
        <v>28</v>
      </c>
      <c r="H526" t="s">
        <v>28</v>
      </c>
      <c r="I526" t="s">
        <v>1621</v>
      </c>
    </row>
    <row r="527" spans="1:9" ht="11.25" customHeight="1">
      <c r="A527" t="s">
        <v>2248</v>
      </c>
      <c r="B527" t="s">
        <v>16</v>
      </c>
      <c r="C527" t="s">
        <v>3074</v>
      </c>
      <c r="D527" t="s">
        <v>3072</v>
      </c>
      <c r="E527" t="s">
        <v>3073</v>
      </c>
      <c r="F527" t="s">
        <v>2648</v>
      </c>
      <c r="G527" t="s">
        <v>3075</v>
      </c>
      <c r="H527" t="s">
        <v>28</v>
      </c>
      <c r="I527" t="s">
        <v>1621</v>
      </c>
    </row>
    <row r="528" spans="1:9" ht="11.25" customHeight="1">
      <c r="A528" t="s">
        <v>2248</v>
      </c>
      <c r="B528" t="s">
        <v>16</v>
      </c>
      <c r="C528" t="s">
        <v>3076</v>
      </c>
      <c r="D528" t="s">
        <v>3077</v>
      </c>
      <c r="E528" t="s">
        <v>3078</v>
      </c>
      <c r="F528" t="s">
        <v>2480</v>
      </c>
      <c r="G528" t="s">
        <v>28</v>
      </c>
      <c r="H528" t="s">
        <v>28</v>
      </c>
      <c r="I528" t="s">
        <v>1621</v>
      </c>
    </row>
    <row r="529" spans="1:9" ht="11.25" customHeight="1">
      <c r="A529" t="s">
        <v>2248</v>
      </c>
      <c r="B529" t="s">
        <v>16</v>
      </c>
      <c r="C529" t="s">
        <v>3079</v>
      </c>
      <c r="D529" t="s">
        <v>3080</v>
      </c>
      <c r="E529" t="s">
        <v>3053</v>
      </c>
      <c r="F529" t="s">
        <v>2289</v>
      </c>
      <c r="G529" t="s">
        <v>28</v>
      </c>
      <c r="H529" t="s">
        <v>28</v>
      </c>
      <c r="I529" t="s">
        <v>1621</v>
      </c>
    </row>
    <row r="530" spans="1:9" ht="11.25" customHeight="1">
      <c r="A530" t="s">
        <v>2248</v>
      </c>
      <c r="B530" t="s">
        <v>16</v>
      </c>
      <c r="C530" t="s">
        <v>3081</v>
      </c>
      <c r="D530" t="s">
        <v>3082</v>
      </c>
      <c r="E530" t="s">
        <v>3083</v>
      </c>
      <c r="F530" t="s">
        <v>2350</v>
      </c>
      <c r="G530" t="s">
        <v>3084</v>
      </c>
      <c r="H530" t="s">
        <v>28</v>
      </c>
      <c r="I530" t="s">
        <v>1621</v>
      </c>
    </row>
    <row r="531" spans="1:9" ht="11.25" customHeight="1">
      <c r="A531" t="s">
        <v>2248</v>
      </c>
      <c r="B531" t="s">
        <v>16</v>
      </c>
      <c r="C531" t="s">
        <v>3085</v>
      </c>
      <c r="D531" t="s">
        <v>3086</v>
      </c>
      <c r="E531" t="s">
        <v>3087</v>
      </c>
      <c r="F531" t="s">
        <v>2431</v>
      </c>
      <c r="G531" t="s">
        <v>3088</v>
      </c>
      <c r="H531" t="s">
        <v>28</v>
      </c>
      <c r="I531" t="s">
        <v>1621</v>
      </c>
    </row>
    <row r="532" spans="1:9" ht="11.25" customHeight="1">
      <c r="A532" t="s">
        <v>2248</v>
      </c>
      <c r="B532" t="s">
        <v>16</v>
      </c>
      <c r="C532" t="s">
        <v>3089</v>
      </c>
      <c r="D532" t="s">
        <v>3090</v>
      </c>
      <c r="E532" t="s">
        <v>3091</v>
      </c>
      <c r="F532" t="s">
        <v>2491</v>
      </c>
      <c r="G532" t="s">
        <v>3092</v>
      </c>
      <c r="H532" t="s">
        <v>28</v>
      </c>
      <c r="I532" t="s">
        <v>1621</v>
      </c>
    </row>
    <row r="533" spans="1:9" ht="11.25" customHeight="1">
      <c r="A533" t="s">
        <v>2248</v>
      </c>
      <c r="B533" t="s">
        <v>16</v>
      </c>
      <c r="C533" t="s">
        <v>3093</v>
      </c>
      <c r="D533" t="s">
        <v>3094</v>
      </c>
      <c r="E533" t="s">
        <v>3095</v>
      </c>
      <c r="F533" t="s">
        <v>2491</v>
      </c>
      <c r="G533" t="s">
        <v>28</v>
      </c>
      <c r="H533" t="s">
        <v>28</v>
      </c>
      <c r="I533" t="s">
        <v>1621</v>
      </c>
    </row>
    <row r="534" spans="1:9" ht="11.25" customHeight="1">
      <c r="A534" t="s">
        <v>2248</v>
      </c>
      <c r="B534" t="s">
        <v>16</v>
      </c>
      <c r="C534" t="s">
        <v>3096</v>
      </c>
      <c r="D534" t="s">
        <v>3097</v>
      </c>
      <c r="E534" t="s">
        <v>3098</v>
      </c>
      <c r="F534" t="s">
        <v>2311</v>
      </c>
      <c r="G534" t="s">
        <v>28</v>
      </c>
      <c r="H534" t="s">
        <v>28</v>
      </c>
      <c r="I534" t="s">
        <v>1621</v>
      </c>
    </row>
    <row r="535" spans="1:9" ht="11.25" customHeight="1">
      <c r="A535" t="s">
        <v>2248</v>
      </c>
      <c r="B535" t="s">
        <v>16</v>
      </c>
      <c r="C535" t="s">
        <v>28</v>
      </c>
      <c r="D535" t="s">
        <v>2821</v>
      </c>
      <c r="E535" t="s">
        <v>2822</v>
      </c>
      <c r="F535" t="s">
        <v>53</v>
      </c>
      <c r="G535" t="s">
        <v>28</v>
      </c>
      <c r="H535" t="s">
        <v>28</v>
      </c>
      <c r="I535" t="s">
        <v>1621</v>
      </c>
    </row>
    <row r="536" spans="1:9" ht="11.25" customHeight="1">
      <c r="A536" t="s">
        <v>2248</v>
      </c>
      <c r="B536" t="s">
        <v>16</v>
      </c>
      <c r="C536" t="s">
        <v>28</v>
      </c>
      <c r="D536" t="s">
        <v>2823</v>
      </c>
      <c r="E536" t="s">
        <v>2824</v>
      </c>
      <c r="F536" t="s">
        <v>2319</v>
      </c>
      <c r="G536" t="s">
        <v>28</v>
      </c>
      <c r="H536" t="s">
        <v>28</v>
      </c>
      <c r="I536" t="s">
        <v>1621</v>
      </c>
    </row>
    <row r="537" spans="1:9" ht="11.25" customHeight="1">
      <c r="A537" t="s">
        <v>2248</v>
      </c>
      <c r="B537" t="s">
        <v>16</v>
      </c>
      <c r="C537" t="s">
        <v>2828</v>
      </c>
      <c r="D537" t="s">
        <v>2829</v>
      </c>
      <c r="E537" t="s">
        <v>2830</v>
      </c>
      <c r="F537" t="s">
        <v>2256</v>
      </c>
      <c r="G537" t="s">
        <v>28</v>
      </c>
      <c r="H537" t="s">
        <v>28</v>
      </c>
      <c r="I537"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cols>
    <col min="1" max="1" width="9.125"/>
  </cols>
  <sheetData>
    <row r="1" spans="1:7" ht="11.25" customHeight="1">
      <c r="A1" t="s">
        <v>3099</v>
      </c>
      <c r="B1" s="2" t="s">
        <v>3100</v>
      </c>
      <c r="C1" s="2" t="s">
        <v>3101</v>
      </c>
      <c r="D1" s="2" t="s">
        <v>3102</v>
      </c>
      <c r="E1" s="2" t="s">
        <v>3103</v>
      </c>
      <c r="F1" s="2" t="s">
        <v>3104</v>
      </c>
      <c r="G1" s="2" t="s">
        <v>3105</v>
      </c>
    </row>
    <row r="2" spans="1:7" ht="11.25" customHeight="1">
      <c r="A2" t="s">
        <v>16</v>
      </c>
      <c r="B2" t="s">
        <v>3106</v>
      </c>
      <c r="C2" t="s">
        <v>3107</v>
      </c>
      <c r="D2" t="s">
        <v>3108</v>
      </c>
      <c r="E2" t="s">
        <v>3109</v>
      </c>
      <c r="F2" t="s">
        <v>3110</v>
      </c>
      <c r="G2" t="s">
        <v>110</v>
      </c>
    </row>
    <row r="3" spans="1:7" ht="11.25" customHeight="1">
      <c r="A3" t="s">
        <v>16</v>
      </c>
      <c r="B3" t="s">
        <v>3106</v>
      </c>
      <c r="C3" t="s">
        <v>3107</v>
      </c>
      <c r="D3" t="s">
        <v>3106</v>
      </c>
      <c r="E3" t="s">
        <v>3107</v>
      </c>
      <c r="F3" t="s">
        <v>3111</v>
      </c>
      <c r="G3" t="s">
        <v>111</v>
      </c>
    </row>
    <row r="4" spans="1:7" ht="11.25" customHeight="1">
      <c r="A4" t="s">
        <v>16</v>
      </c>
      <c r="B4" t="s">
        <v>3106</v>
      </c>
      <c r="C4" t="s">
        <v>3107</v>
      </c>
      <c r="D4" t="s">
        <v>3112</v>
      </c>
      <c r="E4" t="s">
        <v>3113</v>
      </c>
      <c r="F4" t="s">
        <v>3114</v>
      </c>
      <c r="G4" t="s">
        <v>91</v>
      </c>
    </row>
    <row r="5" spans="1:7" ht="11.25" customHeight="1">
      <c r="A5" t="s">
        <v>16</v>
      </c>
      <c r="B5" t="s">
        <v>3106</v>
      </c>
      <c r="C5" t="s">
        <v>3107</v>
      </c>
      <c r="D5" t="s">
        <v>3115</v>
      </c>
      <c r="E5" t="s">
        <v>3116</v>
      </c>
      <c r="F5" t="s">
        <v>3114</v>
      </c>
      <c r="G5" t="s">
        <v>92</v>
      </c>
    </row>
    <row r="6" spans="1:7" ht="11.25" customHeight="1">
      <c r="A6" t="s">
        <v>16</v>
      </c>
      <c r="B6" t="s">
        <v>3106</v>
      </c>
      <c r="C6" t="s">
        <v>3107</v>
      </c>
      <c r="D6" t="s">
        <v>3117</v>
      </c>
      <c r="E6" t="s">
        <v>3118</v>
      </c>
      <c r="F6" t="s">
        <v>3114</v>
      </c>
      <c r="G6" t="s">
        <v>112</v>
      </c>
    </row>
    <row r="7" spans="1:7" ht="11.25" customHeight="1">
      <c r="A7" t="s">
        <v>16</v>
      </c>
      <c r="B7" t="s">
        <v>3106</v>
      </c>
      <c r="C7" t="s">
        <v>3107</v>
      </c>
      <c r="D7" t="s">
        <v>3119</v>
      </c>
      <c r="E7" t="s">
        <v>3120</v>
      </c>
      <c r="F7" t="s">
        <v>3114</v>
      </c>
      <c r="G7" t="s">
        <v>93</v>
      </c>
    </row>
    <row r="8" spans="1:7" ht="11.25" customHeight="1">
      <c r="A8" t="s">
        <v>16</v>
      </c>
      <c r="B8" t="s">
        <v>3106</v>
      </c>
      <c r="C8" t="s">
        <v>3107</v>
      </c>
      <c r="D8" t="s">
        <v>3121</v>
      </c>
      <c r="E8" t="s">
        <v>3122</v>
      </c>
      <c r="F8" t="s">
        <v>3114</v>
      </c>
      <c r="G8" t="s">
        <v>94</v>
      </c>
    </row>
    <row r="9" spans="1:7" ht="11.25" customHeight="1">
      <c r="A9" t="s">
        <v>16</v>
      </c>
      <c r="B9" t="s">
        <v>3106</v>
      </c>
      <c r="C9" t="s">
        <v>3107</v>
      </c>
      <c r="D9" t="s">
        <v>3123</v>
      </c>
      <c r="E9" t="s">
        <v>3124</v>
      </c>
      <c r="F9" t="s">
        <v>3114</v>
      </c>
      <c r="G9" t="s">
        <v>113</v>
      </c>
    </row>
    <row r="10" spans="1:7" ht="11.25" customHeight="1">
      <c r="A10" t="s">
        <v>16</v>
      </c>
      <c r="B10" t="s">
        <v>3125</v>
      </c>
      <c r="C10" t="s">
        <v>3126</v>
      </c>
      <c r="D10" t="s">
        <v>3125</v>
      </c>
      <c r="E10" t="s">
        <v>3126</v>
      </c>
      <c r="F10" t="s">
        <v>3111</v>
      </c>
      <c r="G10" t="s">
        <v>149</v>
      </c>
    </row>
    <row r="11" spans="1:7" ht="11.25" customHeight="1">
      <c r="A11" t="s">
        <v>16</v>
      </c>
      <c r="B11" t="s">
        <v>3125</v>
      </c>
      <c r="C11" t="s">
        <v>3126</v>
      </c>
      <c r="D11" t="s">
        <v>3127</v>
      </c>
      <c r="E11" t="s">
        <v>3128</v>
      </c>
      <c r="F11" t="s">
        <v>3110</v>
      </c>
      <c r="G11" t="s">
        <v>150</v>
      </c>
    </row>
    <row r="12" spans="1:7" ht="11.25" customHeight="1">
      <c r="A12" t="s">
        <v>16</v>
      </c>
      <c r="B12" t="s">
        <v>3125</v>
      </c>
      <c r="C12" t="s">
        <v>3126</v>
      </c>
      <c r="D12" t="s">
        <v>3129</v>
      </c>
      <c r="E12" t="s">
        <v>3130</v>
      </c>
      <c r="F12" t="s">
        <v>3110</v>
      </c>
      <c r="G12" t="s">
        <v>151</v>
      </c>
    </row>
    <row r="13" spans="1:7" ht="11.25" customHeight="1">
      <c r="A13" t="s">
        <v>16</v>
      </c>
      <c r="B13" t="s">
        <v>3125</v>
      </c>
      <c r="C13" t="s">
        <v>3126</v>
      </c>
      <c r="D13" t="s">
        <v>3131</v>
      </c>
      <c r="E13" t="s">
        <v>3132</v>
      </c>
      <c r="F13" t="s">
        <v>3114</v>
      </c>
      <c r="G13" t="s">
        <v>152</v>
      </c>
    </row>
    <row r="14" spans="1:7" ht="11.25" customHeight="1">
      <c r="A14" t="s">
        <v>16</v>
      </c>
      <c r="B14" t="s">
        <v>3125</v>
      </c>
      <c r="C14" t="s">
        <v>3126</v>
      </c>
      <c r="D14" t="s">
        <v>3133</v>
      </c>
      <c r="E14" t="s">
        <v>3134</v>
      </c>
      <c r="F14" t="s">
        <v>3114</v>
      </c>
      <c r="G14" t="s">
        <v>153</v>
      </c>
    </row>
    <row r="15" spans="1:7" ht="11.25" customHeight="1">
      <c r="A15" t="s">
        <v>16</v>
      </c>
      <c r="B15" t="s">
        <v>3125</v>
      </c>
      <c r="C15" t="s">
        <v>3126</v>
      </c>
      <c r="D15" t="s">
        <v>3135</v>
      </c>
      <c r="E15" t="s">
        <v>3136</v>
      </c>
      <c r="F15" t="s">
        <v>3114</v>
      </c>
      <c r="G15" t="s">
        <v>154</v>
      </c>
    </row>
    <row r="16" spans="1:7" ht="11.25" customHeight="1">
      <c r="A16" t="s">
        <v>16</v>
      </c>
      <c r="B16" t="s">
        <v>3125</v>
      </c>
      <c r="C16" t="s">
        <v>3126</v>
      </c>
      <c r="D16" t="s">
        <v>3137</v>
      </c>
      <c r="E16" t="s">
        <v>3138</v>
      </c>
      <c r="F16" t="s">
        <v>3114</v>
      </c>
      <c r="G16" t="s">
        <v>1464</v>
      </c>
    </row>
    <row r="17" spans="1:7" ht="11.25" customHeight="1">
      <c r="A17" t="s">
        <v>16</v>
      </c>
      <c r="B17" t="s">
        <v>3139</v>
      </c>
      <c r="C17" t="s">
        <v>3140</v>
      </c>
      <c r="D17" t="s">
        <v>3139</v>
      </c>
      <c r="E17" t="s">
        <v>3140</v>
      </c>
      <c r="F17" t="s">
        <v>3141</v>
      </c>
      <c r="G17" t="s">
        <v>1470</v>
      </c>
    </row>
    <row r="18" spans="1:7" ht="11.25" customHeight="1">
      <c r="A18" t="s">
        <v>16</v>
      </c>
      <c r="B18" t="s">
        <v>3142</v>
      </c>
      <c r="C18" t="s">
        <v>3143</v>
      </c>
      <c r="D18" t="s">
        <v>3144</v>
      </c>
      <c r="E18" t="s">
        <v>3145</v>
      </c>
      <c r="F18" t="s">
        <v>3114</v>
      </c>
      <c r="G18" t="s">
        <v>1482</v>
      </c>
    </row>
    <row r="19" spans="1:7" ht="11.25" customHeight="1">
      <c r="A19" t="s">
        <v>16</v>
      </c>
      <c r="B19" t="s">
        <v>3142</v>
      </c>
      <c r="C19" t="s">
        <v>3143</v>
      </c>
      <c r="D19" t="s">
        <v>3142</v>
      </c>
      <c r="E19" t="s">
        <v>3143</v>
      </c>
      <c r="F19" t="s">
        <v>3111</v>
      </c>
      <c r="G19" t="s">
        <v>1496</v>
      </c>
    </row>
    <row r="20" spans="1:7" ht="11.25" customHeight="1">
      <c r="A20" t="s">
        <v>16</v>
      </c>
      <c r="B20" t="s">
        <v>3142</v>
      </c>
      <c r="C20" t="s">
        <v>3143</v>
      </c>
      <c r="D20" t="s">
        <v>3146</v>
      </c>
      <c r="E20" t="s">
        <v>3147</v>
      </c>
      <c r="F20" t="s">
        <v>3110</v>
      </c>
      <c r="G20" t="s">
        <v>1508</v>
      </c>
    </row>
    <row r="21" spans="1:7" ht="11.25" customHeight="1">
      <c r="A21" t="s">
        <v>16</v>
      </c>
      <c r="B21" t="s">
        <v>3142</v>
      </c>
      <c r="C21" t="s">
        <v>3143</v>
      </c>
      <c r="D21" t="s">
        <v>3148</v>
      </c>
      <c r="E21" t="s">
        <v>3149</v>
      </c>
      <c r="F21" t="s">
        <v>3110</v>
      </c>
      <c r="G21" t="s">
        <v>1517</v>
      </c>
    </row>
    <row r="22" spans="1:7" ht="11.25" customHeight="1">
      <c r="A22" t="s">
        <v>16</v>
      </c>
      <c r="B22" t="s">
        <v>3142</v>
      </c>
      <c r="C22" t="s">
        <v>3143</v>
      </c>
      <c r="D22" t="s">
        <v>3150</v>
      </c>
      <c r="E22" t="s">
        <v>3151</v>
      </c>
      <c r="F22" t="s">
        <v>3114</v>
      </c>
      <c r="G22" t="s">
        <v>1533</v>
      </c>
    </row>
    <row r="23" spans="1:7" ht="11.25" customHeight="1">
      <c r="A23" t="s">
        <v>16</v>
      </c>
      <c r="B23" t="s">
        <v>3142</v>
      </c>
      <c r="C23" t="s">
        <v>3143</v>
      </c>
      <c r="D23" t="s">
        <v>3152</v>
      </c>
      <c r="E23" t="s">
        <v>3153</v>
      </c>
      <c r="F23" t="s">
        <v>3110</v>
      </c>
      <c r="G23" t="s">
        <v>1540</v>
      </c>
    </row>
    <row r="24" spans="1:7" ht="11.25" customHeight="1">
      <c r="A24" t="s">
        <v>16</v>
      </c>
      <c r="B24" t="s">
        <v>3142</v>
      </c>
      <c r="C24" t="s">
        <v>3143</v>
      </c>
      <c r="D24" t="s">
        <v>3154</v>
      </c>
      <c r="E24" t="s">
        <v>3155</v>
      </c>
      <c r="F24" t="s">
        <v>3110</v>
      </c>
      <c r="G24" t="s">
        <v>1548</v>
      </c>
    </row>
    <row r="25" spans="1:7" ht="11.25" customHeight="1">
      <c r="A25" t="s">
        <v>16</v>
      </c>
      <c r="B25" t="s">
        <v>3142</v>
      </c>
      <c r="C25" t="s">
        <v>3143</v>
      </c>
      <c r="D25" t="s">
        <v>3156</v>
      </c>
      <c r="E25" t="s">
        <v>3157</v>
      </c>
      <c r="F25" t="s">
        <v>3110</v>
      </c>
      <c r="G25" t="s">
        <v>1555</v>
      </c>
    </row>
    <row r="26" spans="1:7" ht="11.25" customHeight="1">
      <c r="A26" t="s">
        <v>16</v>
      </c>
      <c r="B26" t="s">
        <v>3142</v>
      </c>
      <c r="C26" t="s">
        <v>3143</v>
      </c>
      <c r="D26" t="s">
        <v>3158</v>
      </c>
      <c r="E26" t="s">
        <v>3159</v>
      </c>
      <c r="F26" t="s">
        <v>3114</v>
      </c>
      <c r="G26" t="s">
        <v>1559</v>
      </c>
    </row>
    <row r="27" spans="1:7" ht="11.25" customHeight="1">
      <c r="A27" t="s">
        <v>16</v>
      </c>
      <c r="B27" t="s">
        <v>3142</v>
      </c>
      <c r="C27" t="s">
        <v>3143</v>
      </c>
      <c r="D27" t="s">
        <v>3160</v>
      </c>
      <c r="E27" t="s">
        <v>3161</v>
      </c>
      <c r="F27" t="s">
        <v>3114</v>
      </c>
      <c r="G27" t="s">
        <v>1564</v>
      </c>
    </row>
    <row r="28" spans="1:7" ht="11.25" customHeight="1">
      <c r="A28" t="s">
        <v>16</v>
      </c>
      <c r="B28" t="s">
        <v>3142</v>
      </c>
      <c r="C28" t="s">
        <v>3143</v>
      </c>
      <c r="D28" t="s">
        <v>3162</v>
      </c>
      <c r="E28" t="s">
        <v>3163</v>
      </c>
      <c r="F28" t="s">
        <v>3114</v>
      </c>
      <c r="G28" t="s">
        <v>1572</v>
      </c>
    </row>
    <row r="29" spans="1:7" ht="11.25" customHeight="1">
      <c r="A29" t="s">
        <v>16</v>
      </c>
      <c r="B29" t="s">
        <v>3164</v>
      </c>
      <c r="C29" t="s">
        <v>3165</v>
      </c>
      <c r="D29" t="s">
        <v>3164</v>
      </c>
      <c r="E29" t="s">
        <v>3165</v>
      </c>
      <c r="F29" t="s">
        <v>3141</v>
      </c>
      <c r="G29" t="s">
        <v>1574</v>
      </c>
    </row>
    <row r="30" spans="1:7" ht="11.25" customHeight="1">
      <c r="A30" t="s">
        <v>16</v>
      </c>
      <c r="B30" t="s">
        <v>3166</v>
      </c>
      <c r="C30" t="s">
        <v>3167</v>
      </c>
      <c r="D30" t="s">
        <v>3166</v>
      </c>
      <c r="E30" t="s">
        <v>3167</v>
      </c>
      <c r="F30" t="s">
        <v>3141</v>
      </c>
      <c r="G30" t="s">
        <v>1577</v>
      </c>
    </row>
    <row r="31" spans="1:7" ht="11.25" customHeight="1">
      <c r="A31" t="s">
        <v>16</v>
      </c>
      <c r="B31" t="s">
        <v>3168</v>
      </c>
      <c r="C31" t="s">
        <v>3169</v>
      </c>
      <c r="D31" t="s">
        <v>3168</v>
      </c>
      <c r="E31" t="s">
        <v>3169</v>
      </c>
      <c r="F31" t="s">
        <v>3141</v>
      </c>
      <c r="G31" t="s">
        <v>1583</v>
      </c>
    </row>
    <row r="32" spans="1:7" ht="11.25" customHeight="1">
      <c r="A32" t="s">
        <v>16</v>
      </c>
      <c r="B32" t="s">
        <v>3170</v>
      </c>
      <c r="C32" t="s">
        <v>3171</v>
      </c>
      <c r="D32" t="s">
        <v>3172</v>
      </c>
      <c r="E32" t="s">
        <v>3173</v>
      </c>
      <c r="F32" t="s">
        <v>3114</v>
      </c>
      <c r="G32" t="s">
        <v>1585</v>
      </c>
    </row>
    <row r="33" spans="1:7" ht="11.25" customHeight="1">
      <c r="A33" t="s">
        <v>16</v>
      </c>
      <c r="B33" t="s">
        <v>3170</v>
      </c>
      <c r="C33" t="s">
        <v>3171</v>
      </c>
      <c r="D33" t="s">
        <v>3174</v>
      </c>
      <c r="E33" t="s">
        <v>3175</v>
      </c>
      <c r="F33" t="s">
        <v>3114</v>
      </c>
      <c r="G33" t="s">
        <v>1587</v>
      </c>
    </row>
    <row r="34" spans="1:7" ht="11.25" customHeight="1">
      <c r="A34" t="s">
        <v>16</v>
      </c>
      <c r="B34" t="s">
        <v>3170</v>
      </c>
      <c r="C34" t="s">
        <v>3171</v>
      </c>
      <c r="D34" t="s">
        <v>3176</v>
      </c>
      <c r="E34" t="s">
        <v>3177</v>
      </c>
      <c r="F34" t="s">
        <v>3114</v>
      </c>
      <c r="G34" t="s">
        <v>1589</v>
      </c>
    </row>
    <row r="35" spans="1:7" ht="11.25" customHeight="1">
      <c r="A35" t="s">
        <v>16</v>
      </c>
      <c r="B35" t="s">
        <v>3170</v>
      </c>
      <c r="C35" t="s">
        <v>3171</v>
      </c>
      <c r="D35" t="s">
        <v>3170</v>
      </c>
      <c r="E35" t="s">
        <v>3171</v>
      </c>
      <c r="F35" t="s">
        <v>3111</v>
      </c>
      <c r="G35" t="s">
        <v>1594</v>
      </c>
    </row>
    <row r="36" spans="1:7" ht="11.25" customHeight="1">
      <c r="A36" t="s">
        <v>16</v>
      </c>
      <c r="B36" t="s">
        <v>3170</v>
      </c>
      <c r="C36" t="s">
        <v>3171</v>
      </c>
      <c r="D36" t="s">
        <v>3178</v>
      </c>
      <c r="E36" t="s">
        <v>3179</v>
      </c>
      <c r="F36" t="s">
        <v>3110</v>
      </c>
      <c r="G36" t="s">
        <v>1599</v>
      </c>
    </row>
    <row r="37" spans="1:7" ht="11.25" customHeight="1">
      <c r="A37" t="s">
        <v>16</v>
      </c>
      <c r="B37" t="s">
        <v>3170</v>
      </c>
      <c r="C37" t="s">
        <v>3171</v>
      </c>
      <c r="D37" t="s">
        <v>3180</v>
      </c>
      <c r="E37" t="s">
        <v>3181</v>
      </c>
      <c r="F37" t="s">
        <v>3114</v>
      </c>
      <c r="G37" t="s">
        <v>1603</v>
      </c>
    </row>
    <row r="38" spans="1:7" ht="11.25" customHeight="1">
      <c r="A38" t="s">
        <v>16</v>
      </c>
      <c r="B38" t="s">
        <v>3170</v>
      </c>
      <c r="C38" t="s">
        <v>3171</v>
      </c>
      <c r="D38" t="s">
        <v>3182</v>
      </c>
      <c r="E38" t="s">
        <v>3183</v>
      </c>
      <c r="F38" t="s">
        <v>3114</v>
      </c>
      <c r="G38" t="s">
        <v>1611</v>
      </c>
    </row>
    <row r="39" spans="1:7" ht="11.25" customHeight="1">
      <c r="A39" t="s">
        <v>16</v>
      </c>
      <c r="B39" t="s">
        <v>3170</v>
      </c>
      <c r="C39" t="s">
        <v>3171</v>
      </c>
      <c r="D39" t="s">
        <v>3184</v>
      </c>
      <c r="E39" t="s">
        <v>3185</v>
      </c>
      <c r="F39" t="s">
        <v>3114</v>
      </c>
      <c r="G39" t="s">
        <v>1617</v>
      </c>
    </row>
    <row r="40" spans="1:7" ht="11.25" customHeight="1">
      <c r="A40" t="s">
        <v>16</v>
      </c>
      <c r="B40" t="s">
        <v>3170</v>
      </c>
      <c r="C40" t="s">
        <v>3171</v>
      </c>
      <c r="D40" t="s">
        <v>3186</v>
      </c>
      <c r="E40" t="s">
        <v>3187</v>
      </c>
      <c r="F40" t="s">
        <v>3114</v>
      </c>
      <c r="G40" t="s">
        <v>1622</v>
      </c>
    </row>
    <row r="41" spans="1:7" ht="11.25" customHeight="1">
      <c r="A41" t="s">
        <v>16</v>
      </c>
      <c r="B41" t="s">
        <v>3188</v>
      </c>
      <c r="C41" t="s">
        <v>3189</v>
      </c>
      <c r="D41" t="s">
        <v>3188</v>
      </c>
      <c r="E41" t="s">
        <v>3189</v>
      </c>
      <c r="F41" t="s">
        <v>3141</v>
      </c>
      <c r="G41" t="s">
        <v>1626</v>
      </c>
    </row>
    <row r="42" spans="1:7" ht="11.25" customHeight="1">
      <c r="A42" t="s">
        <v>16</v>
      </c>
      <c r="B42" t="s">
        <v>3190</v>
      </c>
      <c r="C42" t="s">
        <v>3191</v>
      </c>
      <c r="D42" t="s">
        <v>3192</v>
      </c>
      <c r="E42" t="s">
        <v>3193</v>
      </c>
      <c r="F42" t="s">
        <v>3114</v>
      </c>
      <c r="G42" t="s">
        <v>1629</v>
      </c>
    </row>
    <row r="43" spans="1:7" ht="11.25" customHeight="1">
      <c r="A43" t="s">
        <v>16</v>
      </c>
      <c r="B43" t="s">
        <v>3190</v>
      </c>
      <c r="C43" t="s">
        <v>3191</v>
      </c>
      <c r="D43" t="s">
        <v>3194</v>
      </c>
      <c r="E43" t="s">
        <v>3195</v>
      </c>
      <c r="F43" t="s">
        <v>3114</v>
      </c>
      <c r="G43" t="s">
        <v>1636</v>
      </c>
    </row>
    <row r="44" spans="1:7" ht="11.25" customHeight="1">
      <c r="A44" t="s">
        <v>16</v>
      </c>
      <c r="B44" t="s">
        <v>3190</v>
      </c>
      <c r="C44" t="s">
        <v>3191</v>
      </c>
      <c r="D44" t="s">
        <v>3196</v>
      </c>
      <c r="E44" t="s">
        <v>3197</v>
      </c>
      <c r="F44" t="s">
        <v>3114</v>
      </c>
      <c r="G44" t="s">
        <v>1645</v>
      </c>
    </row>
    <row r="45" spans="1:7" ht="11.25" customHeight="1">
      <c r="A45" t="s">
        <v>16</v>
      </c>
      <c r="B45" t="s">
        <v>3190</v>
      </c>
      <c r="C45" t="s">
        <v>3191</v>
      </c>
      <c r="D45" t="s">
        <v>3198</v>
      </c>
      <c r="E45" t="s">
        <v>3199</v>
      </c>
      <c r="F45" t="s">
        <v>3114</v>
      </c>
      <c r="G45" t="s">
        <v>1650</v>
      </c>
    </row>
    <row r="46" spans="1:7" ht="11.25" customHeight="1">
      <c r="A46" t="s">
        <v>16</v>
      </c>
      <c r="B46" t="s">
        <v>3190</v>
      </c>
      <c r="C46" t="s">
        <v>3191</v>
      </c>
      <c r="D46" t="s">
        <v>3200</v>
      </c>
      <c r="E46" t="s">
        <v>3201</v>
      </c>
      <c r="F46" t="s">
        <v>3110</v>
      </c>
      <c r="G46" t="s">
        <v>1654</v>
      </c>
    </row>
    <row r="47" spans="1:7" ht="11.25" customHeight="1">
      <c r="A47" t="s">
        <v>16</v>
      </c>
      <c r="B47" t="s">
        <v>3190</v>
      </c>
      <c r="C47" t="s">
        <v>3191</v>
      </c>
      <c r="D47" t="s">
        <v>3202</v>
      </c>
      <c r="E47" t="s">
        <v>3203</v>
      </c>
      <c r="F47" t="s">
        <v>3114</v>
      </c>
      <c r="G47" t="s">
        <v>1660</v>
      </c>
    </row>
    <row r="48" spans="1:7" ht="11.25" customHeight="1">
      <c r="A48" t="s">
        <v>16</v>
      </c>
      <c r="B48" t="s">
        <v>3190</v>
      </c>
      <c r="C48" t="s">
        <v>3191</v>
      </c>
      <c r="D48" t="s">
        <v>3190</v>
      </c>
      <c r="E48" t="s">
        <v>3191</v>
      </c>
      <c r="F48" t="s">
        <v>3111</v>
      </c>
      <c r="G48" t="s">
        <v>1665</v>
      </c>
    </row>
    <row r="49" spans="1:7" ht="11.25" customHeight="1">
      <c r="A49" t="s">
        <v>16</v>
      </c>
      <c r="B49" t="s">
        <v>3190</v>
      </c>
      <c r="C49" t="s">
        <v>3191</v>
      </c>
      <c r="D49" t="s">
        <v>3204</v>
      </c>
      <c r="E49" t="s">
        <v>3205</v>
      </c>
      <c r="F49" t="s">
        <v>3110</v>
      </c>
      <c r="G49" t="s">
        <v>1668</v>
      </c>
    </row>
    <row r="50" spans="1:7" ht="11.25" customHeight="1">
      <c r="A50" t="s">
        <v>16</v>
      </c>
      <c r="B50" t="s">
        <v>3190</v>
      </c>
      <c r="C50" t="s">
        <v>3191</v>
      </c>
      <c r="D50" t="s">
        <v>3206</v>
      </c>
      <c r="E50" t="s">
        <v>3207</v>
      </c>
      <c r="F50" t="s">
        <v>3114</v>
      </c>
      <c r="G50" t="s">
        <v>1672</v>
      </c>
    </row>
    <row r="51" spans="1:7" ht="11.25" customHeight="1">
      <c r="A51" t="s">
        <v>16</v>
      </c>
      <c r="B51" t="s">
        <v>3208</v>
      </c>
      <c r="C51" t="s">
        <v>3209</v>
      </c>
      <c r="D51" t="s">
        <v>3208</v>
      </c>
      <c r="E51" t="s">
        <v>3209</v>
      </c>
      <c r="F51" t="s">
        <v>3141</v>
      </c>
      <c r="G51" t="s">
        <v>1676</v>
      </c>
    </row>
    <row r="52" spans="1:7" ht="11.25" customHeight="1">
      <c r="A52" t="s">
        <v>16</v>
      </c>
      <c r="B52" t="s">
        <v>3210</v>
      </c>
      <c r="C52" t="s">
        <v>3211</v>
      </c>
      <c r="D52" t="s">
        <v>3212</v>
      </c>
      <c r="E52" t="s">
        <v>3213</v>
      </c>
      <c r="F52" t="s">
        <v>3110</v>
      </c>
      <c r="G52" t="s">
        <v>1680</v>
      </c>
    </row>
    <row r="53" spans="1:7" ht="11.25" customHeight="1">
      <c r="A53" t="s">
        <v>16</v>
      </c>
      <c r="B53" t="s">
        <v>3210</v>
      </c>
      <c r="C53" t="s">
        <v>3211</v>
      </c>
      <c r="D53" t="s">
        <v>3214</v>
      </c>
      <c r="E53" t="s">
        <v>3215</v>
      </c>
      <c r="F53" t="s">
        <v>3114</v>
      </c>
      <c r="G53" t="s">
        <v>1682</v>
      </c>
    </row>
    <row r="54" spans="1:7" ht="11.25" customHeight="1">
      <c r="A54" t="s">
        <v>16</v>
      </c>
      <c r="B54" t="s">
        <v>3210</v>
      </c>
      <c r="C54" t="s">
        <v>3211</v>
      </c>
      <c r="D54" t="s">
        <v>3216</v>
      </c>
      <c r="E54" t="s">
        <v>3217</v>
      </c>
      <c r="F54" t="s">
        <v>3114</v>
      </c>
      <c r="G54" t="s">
        <v>1685</v>
      </c>
    </row>
    <row r="55" spans="1:7" ht="11.25" customHeight="1">
      <c r="A55" t="s">
        <v>16</v>
      </c>
      <c r="B55" t="s">
        <v>3210</v>
      </c>
      <c r="C55" t="s">
        <v>3211</v>
      </c>
      <c r="D55" t="s">
        <v>3218</v>
      </c>
      <c r="E55" t="s">
        <v>3219</v>
      </c>
      <c r="F55" t="s">
        <v>3114</v>
      </c>
      <c r="G55" t="s">
        <v>1689</v>
      </c>
    </row>
    <row r="56" spans="1:7" ht="11.25" customHeight="1">
      <c r="A56" t="s">
        <v>16</v>
      </c>
      <c r="B56" t="s">
        <v>3210</v>
      </c>
      <c r="C56" t="s">
        <v>3211</v>
      </c>
      <c r="D56" t="s">
        <v>3210</v>
      </c>
      <c r="E56" t="s">
        <v>3211</v>
      </c>
      <c r="F56" t="s">
        <v>3111</v>
      </c>
      <c r="G56" t="s">
        <v>1692</v>
      </c>
    </row>
    <row r="57" spans="1:7" ht="11.25" customHeight="1">
      <c r="A57" t="s">
        <v>16</v>
      </c>
      <c r="B57" t="s">
        <v>3210</v>
      </c>
      <c r="C57" t="s">
        <v>3211</v>
      </c>
      <c r="D57" t="s">
        <v>3220</v>
      </c>
      <c r="E57" t="s">
        <v>3221</v>
      </c>
      <c r="F57" t="s">
        <v>3110</v>
      </c>
      <c r="G57" t="s">
        <v>1695</v>
      </c>
    </row>
    <row r="58" spans="1:7" ht="11.25" customHeight="1">
      <c r="A58" t="s">
        <v>16</v>
      </c>
      <c r="B58" t="s">
        <v>3210</v>
      </c>
      <c r="C58" t="s">
        <v>3211</v>
      </c>
      <c r="D58" t="s">
        <v>3222</v>
      </c>
      <c r="E58" t="s">
        <v>3223</v>
      </c>
      <c r="F58" t="s">
        <v>3114</v>
      </c>
      <c r="G58" t="s">
        <v>1698</v>
      </c>
    </row>
    <row r="59" spans="1:7" ht="11.25" customHeight="1">
      <c r="A59" t="s">
        <v>16</v>
      </c>
      <c r="B59" t="s">
        <v>3210</v>
      </c>
      <c r="C59" t="s">
        <v>3211</v>
      </c>
      <c r="D59" t="s">
        <v>3224</v>
      </c>
      <c r="E59" t="s">
        <v>3225</v>
      </c>
      <c r="F59" t="s">
        <v>3110</v>
      </c>
      <c r="G59" t="s">
        <v>1702</v>
      </c>
    </row>
    <row r="60" spans="1:7" ht="11.25" customHeight="1">
      <c r="A60" t="s">
        <v>16</v>
      </c>
      <c r="B60" t="s">
        <v>3210</v>
      </c>
      <c r="C60" t="s">
        <v>3211</v>
      </c>
      <c r="D60" t="s">
        <v>3226</v>
      </c>
      <c r="E60" t="s">
        <v>3227</v>
      </c>
      <c r="F60" t="s">
        <v>3114</v>
      </c>
      <c r="G60" t="s">
        <v>1705</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2022</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2225</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3272</v>
      </c>
      <c r="C76" t="s">
        <v>3273</v>
      </c>
      <c r="D76" t="s">
        <v>3272</v>
      </c>
      <c r="E76" t="s">
        <v>3273</v>
      </c>
      <c r="F76" t="s">
        <v>3141</v>
      </c>
      <c r="G76" t="s">
        <v>3274</v>
      </c>
    </row>
    <row r="77" spans="1:7" ht="11.25" customHeight="1">
      <c r="A77" t="s">
        <v>16</v>
      </c>
      <c r="B77" t="s">
        <v>3275</v>
      </c>
      <c r="C77" t="s">
        <v>3276</v>
      </c>
      <c r="D77" t="s">
        <v>3277</v>
      </c>
      <c r="E77" t="s">
        <v>3278</v>
      </c>
      <c r="F77" t="s">
        <v>3110</v>
      </c>
      <c r="G77" t="s">
        <v>3279</v>
      </c>
    </row>
    <row r="78" spans="1:7" ht="11.25" customHeight="1">
      <c r="A78" t="s">
        <v>16</v>
      </c>
      <c r="B78" t="s">
        <v>3275</v>
      </c>
      <c r="C78" t="s">
        <v>3276</v>
      </c>
      <c r="D78" t="s">
        <v>3280</v>
      </c>
      <c r="E78" t="s">
        <v>3281</v>
      </c>
      <c r="F78" t="s">
        <v>3110</v>
      </c>
      <c r="G78" t="s">
        <v>3282</v>
      </c>
    </row>
    <row r="79" spans="1:7" ht="11.25" customHeight="1">
      <c r="A79" t="s">
        <v>16</v>
      </c>
      <c r="B79" t="s">
        <v>3275</v>
      </c>
      <c r="C79" t="s">
        <v>3276</v>
      </c>
      <c r="D79" t="s">
        <v>3283</v>
      </c>
      <c r="E79" t="s">
        <v>3284</v>
      </c>
      <c r="F79" t="s">
        <v>3114</v>
      </c>
      <c r="G79" t="s">
        <v>3285</v>
      </c>
    </row>
    <row r="80" spans="1:7" ht="11.25" customHeight="1">
      <c r="A80" t="s">
        <v>16</v>
      </c>
      <c r="B80" t="s">
        <v>3275</v>
      </c>
      <c r="C80" t="s">
        <v>3276</v>
      </c>
      <c r="D80" t="s">
        <v>3286</v>
      </c>
      <c r="E80" t="s">
        <v>3287</v>
      </c>
      <c r="F80" t="s">
        <v>3114</v>
      </c>
      <c r="G80" t="s">
        <v>3288</v>
      </c>
    </row>
    <row r="81" spans="1:7" ht="11.25" customHeight="1">
      <c r="A81" t="s">
        <v>16</v>
      </c>
      <c r="B81" t="s">
        <v>3275</v>
      </c>
      <c r="C81" t="s">
        <v>3276</v>
      </c>
      <c r="D81" t="s">
        <v>3289</v>
      </c>
      <c r="E81" t="s">
        <v>3290</v>
      </c>
      <c r="F81" t="s">
        <v>3266</v>
      </c>
      <c r="G81" t="s">
        <v>3291</v>
      </c>
    </row>
    <row r="82" spans="1:7" ht="11.25" customHeight="1">
      <c r="A82" t="s">
        <v>16</v>
      </c>
      <c r="B82" t="s">
        <v>3275</v>
      </c>
      <c r="C82" t="s">
        <v>3276</v>
      </c>
      <c r="D82" t="s">
        <v>3292</v>
      </c>
      <c r="E82" t="s">
        <v>3293</v>
      </c>
      <c r="F82" t="s">
        <v>3114</v>
      </c>
      <c r="G82" t="s">
        <v>3294</v>
      </c>
    </row>
    <row r="83" spans="1:7" ht="11.25" customHeight="1">
      <c r="A83" t="s">
        <v>16</v>
      </c>
      <c r="B83" t="s">
        <v>3275</v>
      </c>
      <c r="C83" t="s">
        <v>3276</v>
      </c>
      <c r="D83" t="s">
        <v>3295</v>
      </c>
      <c r="E83" t="s">
        <v>3296</v>
      </c>
      <c r="F83" t="s">
        <v>3114</v>
      </c>
      <c r="G83" t="s">
        <v>3297</v>
      </c>
    </row>
    <row r="84" spans="1:7" ht="11.25" customHeight="1">
      <c r="A84" t="s">
        <v>16</v>
      </c>
      <c r="B84" t="s">
        <v>3275</v>
      </c>
      <c r="C84" t="s">
        <v>3276</v>
      </c>
      <c r="D84" t="s">
        <v>3298</v>
      </c>
      <c r="E84" t="s">
        <v>3299</v>
      </c>
      <c r="F84" t="s">
        <v>3114</v>
      </c>
      <c r="G84" t="s">
        <v>3300</v>
      </c>
    </row>
    <row r="85" spans="1:7" ht="11.25" customHeight="1">
      <c r="A85" t="s">
        <v>16</v>
      </c>
      <c r="B85" t="s">
        <v>3275</v>
      </c>
      <c r="C85" t="s">
        <v>3276</v>
      </c>
      <c r="D85" t="s">
        <v>3275</v>
      </c>
      <c r="E85" t="s">
        <v>3276</v>
      </c>
      <c r="F85" t="s">
        <v>3111</v>
      </c>
      <c r="G85" t="s">
        <v>3301</v>
      </c>
    </row>
    <row r="86" spans="1:7" ht="11.25" customHeight="1">
      <c r="A86" t="s">
        <v>16</v>
      </c>
      <c r="B86" t="s">
        <v>3275</v>
      </c>
      <c r="C86" t="s">
        <v>3276</v>
      </c>
      <c r="D86" t="s">
        <v>3302</v>
      </c>
      <c r="E86" t="s">
        <v>3303</v>
      </c>
      <c r="F86" t="s">
        <v>3114</v>
      </c>
      <c r="G86" t="s">
        <v>3304</v>
      </c>
    </row>
    <row r="87" spans="1:7" ht="11.25" customHeight="1">
      <c r="A87" t="s">
        <v>16</v>
      </c>
      <c r="B87" t="s">
        <v>3275</v>
      </c>
      <c r="C87" t="s">
        <v>3276</v>
      </c>
      <c r="D87" t="s">
        <v>3305</v>
      </c>
      <c r="E87" t="s">
        <v>3306</v>
      </c>
      <c r="F87" t="s">
        <v>3114</v>
      </c>
      <c r="G87" t="s">
        <v>3307</v>
      </c>
    </row>
    <row r="88" spans="1:7" ht="11.25" customHeight="1">
      <c r="A88" t="s">
        <v>16</v>
      </c>
      <c r="B88" t="s">
        <v>3275</v>
      </c>
      <c r="C88" t="s">
        <v>3276</v>
      </c>
      <c r="D88" t="s">
        <v>3308</v>
      </c>
      <c r="E88" t="s">
        <v>3309</v>
      </c>
      <c r="F88" t="s">
        <v>3114</v>
      </c>
      <c r="G88" t="s">
        <v>3310</v>
      </c>
    </row>
    <row r="89" spans="1:7" ht="11.25" customHeight="1">
      <c r="A89" t="s">
        <v>16</v>
      </c>
      <c r="B89" t="s">
        <v>3275</v>
      </c>
      <c r="C89" t="s">
        <v>3276</v>
      </c>
      <c r="D89" t="s">
        <v>3311</v>
      </c>
      <c r="E89" t="s">
        <v>3312</v>
      </c>
      <c r="F89" t="s">
        <v>3114</v>
      </c>
      <c r="G89" t="s">
        <v>3313</v>
      </c>
    </row>
    <row r="90" spans="1:7" ht="11.25" customHeight="1">
      <c r="A90" t="s">
        <v>16</v>
      </c>
      <c r="B90" t="s">
        <v>3275</v>
      </c>
      <c r="C90" t="s">
        <v>3276</v>
      </c>
      <c r="D90" t="s">
        <v>3314</v>
      </c>
      <c r="E90" t="s">
        <v>3315</v>
      </c>
      <c r="F90" t="s">
        <v>3110</v>
      </c>
      <c r="G90" t="s">
        <v>3316</v>
      </c>
    </row>
    <row r="91" spans="1:7" ht="11.25" customHeight="1">
      <c r="A91" t="s">
        <v>16</v>
      </c>
      <c r="B91" t="s">
        <v>3317</v>
      </c>
      <c r="C91" t="s">
        <v>3318</v>
      </c>
      <c r="D91" t="s">
        <v>3317</v>
      </c>
      <c r="E91" t="s">
        <v>3318</v>
      </c>
      <c r="F91" t="s">
        <v>3141</v>
      </c>
      <c r="G91" t="s">
        <v>3319</v>
      </c>
    </row>
    <row r="92" spans="1:7" ht="11.25" customHeight="1">
      <c r="A92" t="s">
        <v>16</v>
      </c>
      <c r="B92" t="s">
        <v>101</v>
      </c>
      <c r="C92" t="s">
        <v>102</v>
      </c>
      <c r="D92" t="s">
        <v>101</v>
      </c>
      <c r="E92" t="s">
        <v>102</v>
      </c>
      <c r="F92" t="s">
        <v>3141</v>
      </c>
      <c r="G92" t="s">
        <v>100</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0"/>
  <sheetViews>
    <sheetView showGridLines="0" workbookViewId="0"/>
  </sheetViews>
  <sheetFormatPr defaultColWidth="9.125" defaultRowHeight="11.25" customHeight="1"/>
  <cols>
    <col min="1" max="1" width="13.875" style="32" customWidth="1"/>
    <col min="2" max="2" width="10.375" style="32" customWidth="1"/>
    <col min="3" max="3" width="7.625" style="32" customWidth="1"/>
    <col min="4" max="4" width="13.875" style="32" customWidth="1"/>
    <col min="5" max="5" width="11.625" style="32" customWidth="1"/>
    <col min="6" max="6" width="16.25" style="32" customWidth="1"/>
    <col min="7" max="7" width="16" style="32" customWidth="1"/>
    <col min="8" max="9" width="16.125" style="32" customWidth="1"/>
  </cols>
  <sheetData>
    <row r="1" spans="1:9" ht="11.25" customHeight="1">
      <c r="A1" s="32" t="s">
        <v>3362</v>
      </c>
      <c r="B1" s="32" t="s">
        <v>3363</v>
      </c>
      <c r="C1" s="32" t="s">
        <v>3364</v>
      </c>
      <c r="D1" s="32" t="s">
        <v>3365</v>
      </c>
      <c r="E1" s="32" t="s">
        <v>3366</v>
      </c>
      <c r="F1" s="32" t="s">
        <v>3367</v>
      </c>
      <c r="G1" s="32" t="s">
        <v>3368</v>
      </c>
      <c r="H1" s="32" t="s">
        <v>3369</v>
      </c>
      <c r="I1" s="32" t="s">
        <v>3370</v>
      </c>
    </row>
    <row r="2" spans="1:9" ht="11.25" customHeight="1">
      <c r="A2" s="32" t="s">
        <v>110</v>
      </c>
      <c r="B2" s="32" t="s">
        <v>3371</v>
      </c>
      <c r="C2" s="32" t="s">
        <v>28</v>
      </c>
      <c r="D2" s="32" t="s">
        <v>3372</v>
      </c>
      <c r="E2" s="32" t="s">
        <v>3373</v>
      </c>
      <c r="F2" s="32" t="s">
        <v>28</v>
      </c>
      <c r="G2" s="32" t="s">
        <v>28</v>
      </c>
      <c r="H2" s="32" t="s">
        <v>28</v>
      </c>
      <c r="I2" s="32" t="s">
        <v>28</v>
      </c>
    </row>
    <row r="3" spans="1:9" ht="11.25" customHeight="1">
      <c r="A3" s="32" t="s">
        <v>111</v>
      </c>
      <c r="B3" s="32" t="s">
        <v>3374</v>
      </c>
      <c r="C3" s="32" t="s">
        <v>28</v>
      </c>
      <c r="D3" s="32" t="s">
        <v>3372</v>
      </c>
      <c r="E3" s="32" t="s">
        <v>3373</v>
      </c>
      <c r="F3" s="32" t="s">
        <v>28</v>
      </c>
      <c r="G3" s="32" t="s">
        <v>28</v>
      </c>
      <c r="H3" s="32" t="s">
        <v>28</v>
      </c>
      <c r="I3" s="32" t="s">
        <v>28</v>
      </c>
    </row>
    <row r="4" spans="1:9" ht="11.25" customHeight="1">
      <c r="A4" s="32" t="s">
        <v>91</v>
      </c>
      <c r="B4" s="32" t="s">
        <v>3375</v>
      </c>
      <c r="C4" s="32" t="s">
        <v>28</v>
      </c>
      <c r="D4" s="32" t="s">
        <v>3376</v>
      </c>
      <c r="E4" s="32" t="s">
        <v>3377</v>
      </c>
      <c r="F4" s="32" t="s">
        <v>28</v>
      </c>
      <c r="G4" s="32" t="s">
        <v>28</v>
      </c>
      <c r="H4" s="32" t="s">
        <v>28</v>
      </c>
      <c r="I4" s="32" t="s">
        <v>28</v>
      </c>
    </row>
    <row r="5" spans="1:9" ht="11.25" customHeight="1">
      <c r="A5" s="32" t="s">
        <v>92</v>
      </c>
      <c r="B5" s="32" t="s">
        <v>3378</v>
      </c>
      <c r="C5" s="32" t="s">
        <v>28</v>
      </c>
      <c r="D5" s="32" t="s">
        <v>3376</v>
      </c>
      <c r="E5" s="32" t="s">
        <v>3379</v>
      </c>
      <c r="F5" s="32" t="s">
        <v>28</v>
      </c>
      <c r="G5" s="32" t="s">
        <v>28</v>
      </c>
      <c r="H5" s="32" t="s">
        <v>28</v>
      </c>
      <c r="I5" s="32" t="s">
        <v>28</v>
      </c>
    </row>
    <row r="6" spans="1:9" ht="11.25" customHeight="1">
      <c r="A6" s="32" t="s">
        <v>112</v>
      </c>
      <c r="B6" s="32" t="s">
        <v>3380</v>
      </c>
      <c r="C6" s="32" t="s">
        <v>28</v>
      </c>
      <c r="D6" s="32" t="s">
        <v>3381</v>
      </c>
      <c r="E6" s="32" t="s">
        <v>3377</v>
      </c>
      <c r="F6" s="32" t="s">
        <v>28</v>
      </c>
      <c r="G6" s="32" t="s">
        <v>28</v>
      </c>
      <c r="H6" s="32" t="s">
        <v>28</v>
      </c>
      <c r="I6" s="32" t="s">
        <v>28</v>
      </c>
    </row>
    <row r="7" spans="1:9" ht="11.25" customHeight="1">
      <c r="A7" s="32" t="s">
        <v>93</v>
      </c>
      <c r="B7" s="32" t="s">
        <v>3382</v>
      </c>
      <c r="C7" s="32" t="s">
        <v>28</v>
      </c>
      <c r="D7" s="32" t="s">
        <v>3383</v>
      </c>
      <c r="E7" s="32" t="s">
        <v>3384</v>
      </c>
      <c r="F7" s="32" t="s">
        <v>28</v>
      </c>
      <c r="G7" s="32" t="s">
        <v>28</v>
      </c>
      <c r="H7" s="32" t="s">
        <v>28</v>
      </c>
      <c r="I7" s="32" t="s">
        <v>28</v>
      </c>
    </row>
    <row r="8" spans="1:9" ht="11.25" customHeight="1">
      <c r="A8" s="32" t="s">
        <v>94</v>
      </c>
      <c r="B8" s="32" t="s">
        <v>3385</v>
      </c>
      <c r="C8" s="32" t="s">
        <v>28</v>
      </c>
      <c r="D8" s="32" t="s">
        <v>3386</v>
      </c>
      <c r="E8" s="32" t="s">
        <v>3387</v>
      </c>
      <c r="F8" s="32" t="s">
        <v>28</v>
      </c>
      <c r="G8" s="32" t="s">
        <v>28</v>
      </c>
      <c r="H8" s="32" t="s">
        <v>28</v>
      </c>
      <c r="I8" s="32" t="s">
        <v>28</v>
      </c>
    </row>
    <row r="9" spans="1:9" ht="11.25" customHeight="1">
      <c r="A9" s="32" t="s">
        <v>113</v>
      </c>
      <c r="B9" s="32" t="s">
        <v>3388</v>
      </c>
      <c r="C9" s="32" t="s">
        <v>28</v>
      </c>
      <c r="D9" s="32" t="s">
        <v>3389</v>
      </c>
      <c r="E9" s="32" t="s">
        <v>3384</v>
      </c>
      <c r="F9" s="32" t="s">
        <v>28</v>
      </c>
      <c r="G9" s="32" t="s">
        <v>28</v>
      </c>
      <c r="H9" s="32" t="s">
        <v>28</v>
      </c>
      <c r="I9" s="32" t="s">
        <v>28</v>
      </c>
    </row>
    <row r="10" spans="1:9" ht="11.25" customHeight="1">
      <c r="A10" s="32" t="s">
        <v>149</v>
      </c>
      <c r="B10" s="32" t="s">
        <v>3390</v>
      </c>
      <c r="C10" s="32" t="s">
        <v>28</v>
      </c>
      <c r="D10" s="32" t="s">
        <v>3376</v>
      </c>
      <c r="E10" s="32" t="s">
        <v>3384</v>
      </c>
      <c r="F10" s="32" t="s">
        <v>28</v>
      </c>
      <c r="G10" s="32" t="s">
        <v>28</v>
      </c>
      <c r="H10" s="32" t="s">
        <v>28</v>
      </c>
      <c r="I10" s="32" t="s">
        <v>28</v>
      </c>
    </row>
    <row r="11" spans="1:9" ht="11.25" customHeight="1">
      <c r="A11" s="32" t="s">
        <v>150</v>
      </c>
      <c r="B11" s="32" t="s">
        <v>3391</v>
      </c>
      <c r="C11" s="32" t="s">
        <v>28</v>
      </c>
      <c r="D11" s="32" t="s">
        <v>3376</v>
      </c>
      <c r="E11" s="32" t="s">
        <v>3384</v>
      </c>
      <c r="F11" s="32" t="s">
        <v>28</v>
      </c>
      <c r="G11" s="32" t="s">
        <v>28</v>
      </c>
      <c r="H11" s="32" t="s">
        <v>28</v>
      </c>
      <c r="I11" s="32" t="s">
        <v>28</v>
      </c>
    </row>
    <row r="12" spans="1:9" ht="11.25" customHeight="1">
      <c r="A12" s="32" t="s">
        <v>151</v>
      </c>
      <c r="B12" s="32" t="s">
        <v>3392</v>
      </c>
      <c r="C12" s="32" t="s">
        <v>28</v>
      </c>
      <c r="D12" s="32" t="s">
        <v>3376</v>
      </c>
      <c r="E12" s="32" t="s">
        <v>3384</v>
      </c>
      <c r="F12" s="32" t="s">
        <v>28</v>
      </c>
      <c r="G12" s="32" t="s">
        <v>28</v>
      </c>
      <c r="H12" s="32" t="s">
        <v>28</v>
      </c>
      <c r="I12" s="32" t="s">
        <v>28</v>
      </c>
    </row>
    <row r="13" spans="1:9" ht="11.25" customHeight="1">
      <c r="A13" s="32" t="s">
        <v>152</v>
      </c>
      <c r="B13" s="32" t="s">
        <v>3393</v>
      </c>
      <c r="C13" s="32" t="s">
        <v>28</v>
      </c>
      <c r="D13" s="32" t="s">
        <v>3372</v>
      </c>
      <c r="E13" s="32" t="s">
        <v>3377</v>
      </c>
      <c r="F13" s="32" t="s">
        <v>28</v>
      </c>
      <c r="G13" s="32" t="s">
        <v>28</v>
      </c>
      <c r="H13" s="32" t="s">
        <v>28</v>
      </c>
      <c r="I13" s="32" t="s">
        <v>28</v>
      </c>
    </row>
    <row r="14" spans="1:9" ht="11.25" customHeight="1">
      <c r="A14" s="32" t="s">
        <v>153</v>
      </c>
      <c r="B14" s="32" t="s">
        <v>3394</v>
      </c>
      <c r="C14" s="32" t="s">
        <v>28</v>
      </c>
      <c r="D14" s="32" t="s">
        <v>3395</v>
      </c>
      <c r="E14" s="32" t="s">
        <v>3377</v>
      </c>
      <c r="F14" s="32" t="s">
        <v>28</v>
      </c>
      <c r="G14" s="32" t="s">
        <v>28</v>
      </c>
      <c r="H14" s="32" t="s">
        <v>28</v>
      </c>
      <c r="I14" s="32" t="s">
        <v>28</v>
      </c>
    </row>
    <row r="15" spans="1:9" ht="11.25" customHeight="1">
      <c r="A15" s="32" t="s">
        <v>154</v>
      </c>
      <c r="B15" s="32" t="s">
        <v>3396</v>
      </c>
      <c r="C15" s="32" t="s">
        <v>28</v>
      </c>
      <c r="D15" s="32" t="s">
        <v>3395</v>
      </c>
      <c r="E15" s="32" t="s">
        <v>3377</v>
      </c>
      <c r="F15" s="32" t="s">
        <v>28</v>
      </c>
      <c r="G15" s="32" t="s">
        <v>28</v>
      </c>
      <c r="H15" s="32" t="s">
        <v>28</v>
      </c>
      <c r="I15" s="32" t="s">
        <v>28</v>
      </c>
    </row>
    <row r="16" spans="1:9" ht="11.25" customHeight="1">
      <c r="A16" s="32" t="s">
        <v>1464</v>
      </c>
      <c r="B16" s="32" t="s">
        <v>3397</v>
      </c>
      <c r="C16" s="32" t="s">
        <v>28</v>
      </c>
      <c r="D16" s="32" t="s">
        <v>3395</v>
      </c>
      <c r="E16" s="32" t="s">
        <v>3377</v>
      </c>
      <c r="F16" s="32" t="s">
        <v>28</v>
      </c>
      <c r="G16" s="32" t="s">
        <v>28</v>
      </c>
      <c r="H16" s="32" t="s">
        <v>28</v>
      </c>
      <c r="I16" s="32" t="s">
        <v>28</v>
      </c>
    </row>
    <row r="17" spans="1:9" ht="11.25" customHeight="1">
      <c r="A17" s="32" t="s">
        <v>1470</v>
      </c>
      <c r="B17" s="32" t="s">
        <v>3398</v>
      </c>
      <c r="C17" s="32" t="s">
        <v>28</v>
      </c>
      <c r="D17" s="32" t="s">
        <v>3399</v>
      </c>
      <c r="E17" s="32" t="s">
        <v>3400</v>
      </c>
      <c r="F17" s="32" t="s">
        <v>28</v>
      </c>
      <c r="G17" s="32" t="s">
        <v>28</v>
      </c>
      <c r="H17" s="32" t="s">
        <v>28</v>
      </c>
      <c r="I17" s="32" t="s">
        <v>28</v>
      </c>
    </row>
    <row r="18" spans="1:9" ht="11.25" customHeight="1">
      <c r="A18" s="32" t="s">
        <v>1482</v>
      </c>
      <c r="B18" s="32" t="s">
        <v>3401</v>
      </c>
      <c r="C18" s="32" t="s">
        <v>28</v>
      </c>
      <c r="D18" s="32" t="s">
        <v>3386</v>
      </c>
      <c r="E18" s="32" t="s">
        <v>3384</v>
      </c>
      <c r="F18" s="32" t="s">
        <v>28</v>
      </c>
      <c r="G18" s="32" t="s">
        <v>28</v>
      </c>
      <c r="H18" s="32" t="s">
        <v>28</v>
      </c>
      <c r="I18" s="32" t="s">
        <v>28</v>
      </c>
    </row>
    <row r="19" spans="1:9" ht="11.25" customHeight="1">
      <c r="A19" s="32" t="s">
        <v>1496</v>
      </c>
      <c r="B19" s="32" t="s">
        <v>3402</v>
      </c>
      <c r="C19" s="32" t="s">
        <v>28</v>
      </c>
      <c r="D19" s="32" t="s">
        <v>3389</v>
      </c>
      <c r="E19" s="32" t="s">
        <v>3403</v>
      </c>
      <c r="F19" s="32" t="s">
        <v>28</v>
      </c>
      <c r="G19" s="32" t="s">
        <v>28</v>
      </c>
      <c r="H19" s="32" t="s">
        <v>28</v>
      </c>
      <c r="I19" s="32" t="s">
        <v>28</v>
      </c>
    </row>
    <row r="20" spans="1:9" ht="11.25" customHeight="1">
      <c r="A20" s="32" t="s">
        <v>1508</v>
      </c>
      <c r="B20" s="32" t="s">
        <v>3404</v>
      </c>
      <c r="C20" s="32" t="s">
        <v>28</v>
      </c>
      <c r="D20" s="32" t="s">
        <v>3372</v>
      </c>
      <c r="E20" s="32" t="s">
        <v>3405</v>
      </c>
      <c r="F20" s="32" t="s">
        <v>28</v>
      </c>
      <c r="G20" s="32" t="s">
        <v>28</v>
      </c>
      <c r="H20" s="32" t="s">
        <v>28</v>
      </c>
      <c r="I2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8" hidden="1" customWidth="1"/>
    <col min="2" max="2" width="9.125" style="11" hidden="1" customWidth="1"/>
    <col min="3" max="3" width="3" style="77" customWidth="1"/>
    <col min="4" max="4" width="5" style="11" customWidth="1"/>
    <col min="5" max="5" width="48" style="11" customWidth="1"/>
    <col min="6" max="6" width="38" style="11" customWidth="1"/>
    <col min="7" max="7" width="1.75" style="11" hidden="1" customWidth="1"/>
    <col min="8" max="11" width="19.875" style="11" hidden="1" customWidth="1"/>
    <col min="12" max="12" width="9.75" style="11" hidden="1" customWidth="1"/>
    <col min="13" max="18" width="19.875" style="11" hidden="1" customWidth="1"/>
    <col min="19" max="19" width="1.75" style="11" hidden="1" customWidth="1"/>
    <col min="20" max="22" width="19.875" style="11" customWidth="1"/>
    <col min="23" max="23" width="1.75" style="11" hidden="1" customWidth="1"/>
    <col min="24" max="26" width="19.875" style="11" hidden="1" customWidth="1"/>
    <col min="27" max="27" width="1.75" style="11" hidden="1" customWidth="1"/>
    <col min="28" max="29" width="19.875" style="11" hidden="1" customWidth="1"/>
    <col min="30" max="30" width="1.75" style="11" hidden="1" customWidth="1"/>
    <col min="31" max="31" width="103.75" style="11" hidden="1" customWidth="1"/>
    <col min="32" max="32" width="103.75" style="11" customWidth="1"/>
    <col min="33" max="34" width="103.75" style="11" hidden="1" customWidth="1"/>
    <col min="35" max="35" width="3" style="45" customWidth="1"/>
    <col min="36" max="38" width="10" style="68" customWidth="1"/>
    <col min="39" max="39" width="13.75" style="68" hidden="1" customWidth="1"/>
    <col min="40" max="40" width="15" style="68" customWidth="1"/>
    <col min="41" max="41" width="16" style="68" customWidth="1"/>
    <col min="42" max="45" width="10" style="68" customWidth="1"/>
    <col min="46" max="46" width="10.625" style="11" hidden="1"/>
  </cols>
  <sheetData>
    <row r="1" spans="1:46" ht="22.5" hidden="1" customHeight="1">
      <c r="E1" s="235"/>
      <c r="F1" s="235"/>
      <c r="G1" s="235"/>
      <c r="H1" s="1272" t="s">
        <v>356</v>
      </c>
      <c r="I1" s="1272"/>
      <c r="J1" s="1272"/>
      <c r="K1" s="1272"/>
      <c r="L1" s="1272"/>
      <c r="M1" s="1272"/>
      <c r="N1" s="1272"/>
      <c r="O1" s="1272"/>
      <c r="P1" s="1272"/>
      <c r="Q1" s="1272"/>
      <c r="R1" s="1272"/>
      <c r="T1" s="1272" t="s">
        <v>357</v>
      </c>
      <c r="U1" s="1272"/>
      <c r="V1" s="1272"/>
      <c r="X1" s="1272" t="s">
        <v>358</v>
      </c>
      <c r="Y1" s="1272"/>
      <c r="Z1" s="1272"/>
      <c r="AB1" s="1272" t="s">
        <v>359</v>
      </c>
      <c r="AC1" s="1272"/>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0" t="str">
        <f>ORG_VD_NAME_FORM</f>
        <v>Форма 1. Информация об организации, осуществляющей водоотведение (общая информация)</v>
      </c>
      <c r="E4" s="1211"/>
      <c r="F4" s="1211"/>
      <c r="G4" s="1211"/>
      <c r="H4" s="1211"/>
      <c r="I4" s="1211"/>
      <c r="J4" s="1211"/>
      <c r="K4" s="1211"/>
      <c r="L4" s="1211"/>
      <c r="M4" s="1211"/>
      <c r="N4" s="1211"/>
      <c r="O4" s="1211"/>
      <c r="P4" s="1211"/>
      <c r="Q4" s="1211"/>
      <c r="R4" s="1212"/>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9" t="str">
        <f>IF(org=0,"Не определено",org)</f>
        <v>АО "Юграавиа"</v>
      </c>
      <c r="E5" s="1270"/>
      <c r="F5" s="1270"/>
      <c r="G5" s="1270"/>
      <c r="H5" s="1270"/>
      <c r="I5" s="1270"/>
      <c r="J5" s="1270"/>
      <c r="K5" s="1270"/>
      <c r="L5" s="1270"/>
      <c r="M5" s="1270"/>
      <c r="N5" s="1270"/>
      <c r="O5" s="1270"/>
      <c r="P5" s="1270"/>
      <c r="Q5" s="1270"/>
      <c r="R5" s="127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5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7" customHeight="1">
      <c r="C7" s="23"/>
      <c r="D7" s="1260" t="s">
        <v>304</v>
      </c>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4"/>
      <c r="AE7" s="1217" t="s">
        <v>305</v>
      </c>
      <c r="AF7" s="1217" t="s">
        <v>305</v>
      </c>
      <c r="AG7" s="1217" t="s">
        <v>305</v>
      </c>
      <c r="AH7" s="1217" t="s">
        <v>305</v>
      </c>
      <c r="AT7" s="11">
        <v>14</v>
      </c>
    </row>
    <row r="8" spans="1:46" ht="27.3" customHeight="1">
      <c r="C8" s="23"/>
      <c r="D8" s="1158" t="s">
        <v>89</v>
      </c>
      <c r="E8" s="1217" t="str">
        <f>"Наименование "&amp;IF(TEMPLATE_SPHERE&lt;&gt;"HEAT","централизованной ","")&amp;"системы "&amp;TEMPLATE_SPHERE_RUS</f>
        <v>Наименование централизованной системы водоотведения</v>
      </c>
      <c r="F8" s="1217" t="str">
        <f>IF(TEMPLATE_SPHERE&lt;&gt;"HEAT","Регулируемый вид деятельности","Вид регулируемой деятельности")</f>
        <v>Регулируемый вид деятельности</v>
      </c>
      <c r="G8" s="472"/>
      <c r="H8" s="1261" t="s">
        <v>361</v>
      </c>
      <c r="I8" s="1265" t="s">
        <v>362</v>
      </c>
      <c r="J8" s="1217" t="s">
        <v>363</v>
      </c>
      <c r="K8" s="1217"/>
      <c r="L8" s="1217"/>
      <c r="M8" s="1260"/>
      <c r="N8" s="1217" t="s">
        <v>364</v>
      </c>
      <c r="O8" s="1217"/>
      <c r="P8" s="1217" t="s">
        <v>365</v>
      </c>
      <c r="Q8" s="1217"/>
      <c r="R8" s="1263" t="s">
        <v>366</v>
      </c>
      <c r="S8" s="470"/>
      <c r="T8" s="1261" t="s">
        <v>367</v>
      </c>
      <c r="U8" s="1261" t="s">
        <v>368</v>
      </c>
      <c r="V8" s="1261" t="s">
        <v>369</v>
      </c>
      <c r="W8" s="472"/>
      <c r="X8" s="1261" t="s">
        <v>370</v>
      </c>
      <c r="Y8" s="1261" t="s">
        <v>371</v>
      </c>
      <c r="Z8" s="1261" t="s">
        <v>372</v>
      </c>
      <c r="AA8" s="472"/>
      <c r="AB8" s="1261" t="s">
        <v>373</v>
      </c>
      <c r="AC8" s="1261" t="s">
        <v>366</v>
      </c>
      <c r="AD8" s="472"/>
      <c r="AE8" s="1217"/>
      <c r="AF8" s="1217"/>
      <c r="AG8" s="1217"/>
      <c r="AH8" s="1217"/>
      <c r="AT8" s="11">
        <v>26</v>
      </c>
    </row>
    <row r="9" spans="1:46" ht="46.2" customHeight="1">
      <c r="C9" s="23"/>
      <c r="D9" s="1158"/>
      <c r="E9" s="1217"/>
      <c r="F9" s="1217"/>
      <c r="G9" s="473"/>
      <c r="H9" s="1262"/>
      <c r="I9" s="1266"/>
      <c r="J9" s="39" t="s">
        <v>374</v>
      </c>
      <c r="K9" s="39" t="s">
        <v>375</v>
      </c>
      <c r="L9" s="39" t="s">
        <v>376</v>
      </c>
      <c r="M9" s="239" t="s">
        <v>377</v>
      </c>
      <c r="N9" s="39" t="s">
        <v>378</v>
      </c>
      <c r="O9" s="39" t="s">
        <v>377</v>
      </c>
      <c r="P9" s="39" t="s">
        <v>379</v>
      </c>
      <c r="Q9" s="39" t="s">
        <v>377</v>
      </c>
      <c r="R9" s="1264"/>
      <c r="S9" s="471"/>
      <c r="T9" s="1262"/>
      <c r="U9" s="1262"/>
      <c r="V9" s="1262"/>
      <c r="W9" s="473"/>
      <c r="X9" s="1262"/>
      <c r="Y9" s="1262"/>
      <c r="Z9" s="1262"/>
      <c r="AA9" s="473"/>
      <c r="AB9" s="1262"/>
      <c r="AC9" s="1262"/>
      <c r="AD9" s="473"/>
      <c r="AE9" s="1217"/>
      <c r="AF9" s="1217"/>
      <c r="AG9" s="1217"/>
      <c r="AH9" s="1217"/>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7"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67" t="s">
        <v>381</v>
      </c>
      <c r="AF12" s="1267" t="s">
        <v>382</v>
      </c>
      <c r="AG12" s="1267" t="s">
        <v>383</v>
      </c>
      <c r="AH12" s="1267"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68"/>
      <c r="AF13" s="1268"/>
      <c r="AG13" s="1268"/>
      <c r="AH13" s="1268"/>
      <c r="AI13" s="11"/>
      <c r="AT13" s="11">
        <v>17</v>
      </c>
    </row>
    <row r="14" spans="1:46" ht="14.7" customHeight="1">
      <c r="AI14" s="11"/>
      <c r="AT14" s="11">
        <v>14</v>
      </c>
    </row>
    <row r="15" spans="1:46" ht="14.7" customHeight="1">
      <c r="AT15" s="11">
        <v>14</v>
      </c>
    </row>
    <row r="16" spans="1:46" ht="14.7" customHeight="1">
      <c r="AT16" s="11">
        <v>14</v>
      </c>
    </row>
    <row r="17" spans="1:46" ht="14.7"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94"/>
  </cols>
  <sheetData>
    <row r="1" spans="1:2" ht="11.25" customHeight="1">
      <c r="A1" s="94" t="s">
        <v>131</v>
      </c>
      <c r="B1" s="94" t="s">
        <v>3406</v>
      </c>
    </row>
    <row r="2" spans="1:2" ht="11.25" customHeight="1">
      <c r="A2" s="2" t="s">
        <v>99</v>
      </c>
      <c r="B2" s="2" t="s">
        <v>3407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32"/>
    <col min="2" max="2" width="65.25" style="32" customWidth="1"/>
  </cols>
  <sheetData>
    <row r="1" spans="1:2" ht="11.25" customHeight="1">
      <c r="A1" s="32" t="s">
        <v>3408</v>
      </c>
      <c r="B1" s="32" t="s">
        <v>3409</v>
      </c>
    </row>
    <row r="2" spans="1:2" ht="11.25" customHeight="1">
      <c r="A2" s="32">
        <v>4213775</v>
      </c>
      <c r="B2" s="32" t="s">
        <v>1221</v>
      </c>
    </row>
    <row r="3" spans="1:2" ht="11.25" customHeight="1">
      <c r="A3" s="32">
        <v>4213784</v>
      </c>
      <c r="B3" s="32" t="s">
        <v>1256</v>
      </c>
    </row>
    <row r="4" spans="1:2" ht="11.25" customHeight="1">
      <c r="A4" s="32">
        <v>4213781</v>
      </c>
      <c r="B4" s="32" t="s">
        <v>1249</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1389</v>
      </c>
    </row>
    <row r="10" spans="1:2" ht="11.25" customHeight="1">
      <c r="A10" s="32">
        <v>4213783</v>
      </c>
      <c r="B10" s="32" t="s">
        <v>1404</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25" defaultRowHeight="11.25" customHeight="1"/>
  <cols>
    <col min="1" max="1" width="9.125" style="32"/>
    <col min="2" max="2" width="65.25" style="32" customWidth="1"/>
  </cols>
  <sheetData>
    <row r="1" spans="1:2" ht="11.25" customHeight="1">
      <c r="A1" s="32" t="s">
        <v>3408</v>
      </c>
      <c r="B1" s="32" t="s">
        <v>3410</v>
      </c>
    </row>
    <row r="2" spans="1:2" ht="11.25" customHeight="1">
      <c r="A2" s="32" t="s">
        <v>3411</v>
      </c>
      <c r="B2" s="32" t="s">
        <v>1505</v>
      </c>
    </row>
    <row r="3" spans="1:2" ht="11.25" customHeight="1">
      <c r="A3" s="32" t="s">
        <v>3412</v>
      </c>
      <c r="B3" s="32" t="s">
        <v>1514</v>
      </c>
    </row>
    <row r="4" spans="1:2" ht="11.25" customHeight="1">
      <c r="A4" s="32" t="s">
        <v>3413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3099</v>
      </c>
      <c r="B1" t="s">
        <v>3100</v>
      </c>
      <c r="C1" t="s">
        <v>3101</v>
      </c>
      <c r="D1" t="s">
        <v>3102</v>
      </c>
      <c r="E1" t="s">
        <v>3103</v>
      </c>
      <c r="F1" t="s">
        <v>3104</v>
      </c>
      <c r="G1" t="s">
        <v>3105</v>
      </c>
    </row>
    <row r="2" spans="1:7" ht="11.25" customHeight="1">
      <c r="A2" t="s">
        <v>16</v>
      </c>
      <c r="B2" t="s">
        <v>3106</v>
      </c>
      <c r="C2" t="s">
        <v>3107</v>
      </c>
      <c r="D2" t="s">
        <v>3108</v>
      </c>
      <c r="E2" t="s">
        <v>3109</v>
      </c>
      <c r="F2" t="s">
        <v>3110</v>
      </c>
      <c r="G2" t="s">
        <v>110</v>
      </c>
    </row>
    <row r="3" spans="1:7" ht="11.25" customHeight="1">
      <c r="A3" t="s">
        <v>16</v>
      </c>
      <c r="B3" t="s">
        <v>3106</v>
      </c>
      <c r="C3" t="s">
        <v>3107</v>
      </c>
      <c r="D3" t="s">
        <v>3106</v>
      </c>
      <c r="E3" t="s">
        <v>3107</v>
      </c>
      <c r="F3" t="s">
        <v>3111</v>
      </c>
      <c r="G3" t="s">
        <v>111</v>
      </c>
    </row>
    <row r="4" spans="1:7" ht="11.25" customHeight="1">
      <c r="A4" t="s">
        <v>16</v>
      </c>
      <c r="B4" t="s">
        <v>3106</v>
      </c>
      <c r="C4" t="s">
        <v>3107</v>
      </c>
      <c r="D4" t="s">
        <v>3112</v>
      </c>
      <c r="E4" t="s">
        <v>3113</v>
      </c>
      <c r="F4" t="s">
        <v>3114</v>
      </c>
      <c r="G4" t="s">
        <v>91</v>
      </c>
    </row>
    <row r="5" spans="1:7" ht="11.25" customHeight="1">
      <c r="A5" t="s">
        <v>16</v>
      </c>
      <c r="B5" t="s">
        <v>3106</v>
      </c>
      <c r="C5" t="s">
        <v>3107</v>
      </c>
      <c r="D5" t="s">
        <v>3115</v>
      </c>
      <c r="E5" t="s">
        <v>3116</v>
      </c>
      <c r="F5" t="s">
        <v>3114</v>
      </c>
      <c r="G5" t="s">
        <v>92</v>
      </c>
    </row>
    <row r="6" spans="1:7" ht="11.25" customHeight="1">
      <c r="A6" t="s">
        <v>16</v>
      </c>
      <c r="B6" t="s">
        <v>3106</v>
      </c>
      <c r="C6" t="s">
        <v>3107</v>
      </c>
      <c r="D6" t="s">
        <v>3117</v>
      </c>
      <c r="E6" t="s">
        <v>3118</v>
      </c>
      <c r="F6" t="s">
        <v>3114</v>
      </c>
      <c r="G6" t="s">
        <v>112</v>
      </c>
    </row>
    <row r="7" spans="1:7" ht="11.25" customHeight="1">
      <c r="A7" t="s">
        <v>16</v>
      </c>
      <c r="B7" t="s">
        <v>3106</v>
      </c>
      <c r="C7" t="s">
        <v>3107</v>
      </c>
      <c r="D7" t="s">
        <v>3119</v>
      </c>
      <c r="E7" t="s">
        <v>3120</v>
      </c>
      <c r="F7" t="s">
        <v>3114</v>
      </c>
      <c r="G7" t="s">
        <v>93</v>
      </c>
    </row>
    <row r="8" spans="1:7" ht="11.25" customHeight="1">
      <c r="A8" t="s">
        <v>16</v>
      </c>
      <c r="B8" t="s">
        <v>3106</v>
      </c>
      <c r="C8" t="s">
        <v>3107</v>
      </c>
      <c r="D8" t="s">
        <v>3121</v>
      </c>
      <c r="E8" t="s">
        <v>3122</v>
      </c>
      <c r="F8" t="s">
        <v>3114</v>
      </c>
      <c r="G8" t="s">
        <v>94</v>
      </c>
    </row>
    <row r="9" spans="1:7" ht="11.25" customHeight="1">
      <c r="A9" t="s">
        <v>16</v>
      </c>
      <c r="B9" t="s">
        <v>3106</v>
      </c>
      <c r="C9" t="s">
        <v>3107</v>
      </c>
      <c r="D9" t="s">
        <v>3123</v>
      </c>
      <c r="E9" t="s">
        <v>3124</v>
      </c>
      <c r="F9" t="s">
        <v>3114</v>
      </c>
      <c r="G9" t="s">
        <v>113</v>
      </c>
    </row>
    <row r="10" spans="1:7" ht="11.25" customHeight="1">
      <c r="A10" t="s">
        <v>16</v>
      </c>
      <c r="B10" t="s">
        <v>3125</v>
      </c>
      <c r="C10" t="s">
        <v>3126</v>
      </c>
      <c r="D10" t="s">
        <v>3125</v>
      </c>
      <c r="E10" t="s">
        <v>3126</v>
      </c>
      <c r="F10" t="s">
        <v>3111</v>
      </c>
      <c r="G10" t="s">
        <v>149</v>
      </c>
    </row>
    <row r="11" spans="1:7" ht="11.25" customHeight="1">
      <c r="A11" t="s">
        <v>16</v>
      </c>
      <c r="B11" t="s">
        <v>3125</v>
      </c>
      <c r="C11" t="s">
        <v>3126</v>
      </c>
      <c r="D11" t="s">
        <v>3127</v>
      </c>
      <c r="E11" t="s">
        <v>3128</v>
      </c>
      <c r="F11" t="s">
        <v>3110</v>
      </c>
      <c r="G11" t="s">
        <v>150</v>
      </c>
    </row>
    <row r="12" spans="1:7" ht="11.25" customHeight="1">
      <c r="A12" t="s">
        <v>16</v>
      </c>
      <c r="B12" t="s">
        <v>3125</v>
      </c>
      <c r="C12" t="s">
        <v>3126</v>
      </c>
      <c r="D12" t="s">
        <v>3129</v>
      </c>
      <c r="E12" t="s">
        <v>3130</v>
      </c>
      <c r="F12" t="s">
        <v>3110</v>
      </c>
      <c r="G12" t="s">
        <v>151</v>
      </c>
    </row>
    <row r="13" spans="1:7" ht="11.25" customHeight="1">
      <c r="A13" t="s">
        <v>16</v>
      </c>
      <c r="B13" t="s">
        <v>3125</v>
      </c>
      <c r="C13" t="s">
        <v>3126</v>
      </c>
      <c r="D13" t="s">
        <v>3131</v>
      </c>
      <c r="E13" t="s">
        <v>3132</v>
      </c>
      <c r="F13" t="s">
        <v>3114</v>
      </c>
      <c r="G13" t="s">
        <v>152</v>
      </c>
    </row>
    <row r="14" spans="1:7" ht="11.25" customHeight="1">
      <c r="A14" t="s">
        <v>16</v>
      </c>
      <c r="B14" t="s">
        <v>3125</v>
      </c>
      <c r="C14" t="s">
        <v>3126</v>
      </c>
      <c r="D14" t="s">
        <v>3133</v>
      </c>
      <c r="E14" t="s">
        <v>3134</v>
      </c>
      <c r="F14" t="s">
        <v>3114</v>
      </c>
      <c r="G14" t="s">
        <v>153</v>
      </c>
    </row>
    <row r="15" spans="1:7" ht="11.25" customHeight="1">
      <c r="A15" t="s">
        <v>16</v>
      </c>
      <c r="B15" t="s">
        <v>3125</v>
      </c>
      <c r="C15" t="s">
        <v>3126</v>
      </c>
      <c r="D15" t="s">
        <v>3135</v>
      </c>
      <c r="E15" t="s">
        <v>3136</v>
      </c>
      <c r="F15" t="s">
        <v>3114</v>
      </c>
      <c r="G15" t="s">
        <v>154</v>
      </c>
    </row>
    <row r="16" spans="1:7" ht="11.25" customHeight="1">
      <c r="A16" t="s">
        <v>16</v>
      </c>
      <c r="B16" t="s">
        <v>3125</v>
      </c>
      <c r="C16" t="s">
        <v>3126</v>
      </c>
      <c r="D16" t="s">
        <v>3137</v>
      </c>
      <c r="E16" t="s">
        <v>3138</v>
      </c>
      <c r="F16" t="s">
        <v>3114</v>
      </c>
      <c r="G16" t="s">
        <v>1464</v>
      </c>
    </row>
    <row r="17" spans="1:7" ht="11.25" customHeight="1">
      <c r="A17" t="s">
        <v>16</v>
      </c>
      <c r="B17" t="s">
        <v>3139</v>
      </c>
      <c r="C17" t="s">
        <v>3140</v>
      </c>
      <c r="D17" t="s">
        <v>3139</v>
      </c>
      <c r="E17" t="s">
        <v>3140</v>
      </c>
      <c r="F17" t="s">
        <v>3141</v>
      </c>
      <c r="G17" t="s">
        <v>1470</v>
      </c>
    </row>
    <row r="18" spans="1:7" ht="11.25" customHeight="1">
      <c r="A18" t="s">
        <v>16</v>
      </c>
      <c r="B18" t="s">
        <v>3142</v>
      </c>
      <c r="C18" t="s">
        <v>3143</v>
      </c>
      <c r="D18" t="s">
        <v>3144</v>
      </c>
      <c r="E18" t="s">
        <v>3145</v>
      </c>
      <c r="F18" t="s">
        <v>3114</v>
      </c>
      <c r="G18" t="s">
        <v>1482</v>
      </c>
    </row>
    <row r="19" spans="1:7" ht="11.25" customHeight="1">
      <c r="A19" t="s">
        <v>16</v>
      </c>
      <c r="B19" t="s">
        <v>3142</v>
      </c>
      <c r="C19" t="s">
        <v>3143</v>
      </c>
      <c r="D19" t="s">
        <v>3142</v>
      </c>
      <c r="E19" t="s">
        <v>3143</v>
      </c>
      <c r="F19" t="s">
        <v>3111</v>
      </c>
      <c r="G19" t="s">
        <v>1496</v>
      </c>
    </row>
    <row r="20" spans="1:7" ht="11.25" customHeight="1">
      <c r="A20" t="s">
        <v>16</v>
      </c>
      <c r="B20" t="s">
        <v>3142</v>
      </c>
      <c r="C20" t="s">
        <v>3143</v>
      </c>
      <c r="D20" t="s">
        <v>3146</v>
      </c>
      <c r="E20" t="s">
        <v>3147</v>
      </c>
      <c r="F20" t="s">
        <v>3110</v>
      </c>
      <c r="G20" t="s">
        <v>1508</v>
      </c>
    </row>
    <row r="21" spans="1:7" ht="11.25" customHeight="1">
      <c r="A21" t="s">
        <v>16</v>
      </c>
      <c r="B21" t="s">
        <v>3142</v>
      </c>
      <c r="C21" t="s">
        <v>3143</v>
      </c>
      <c r="D21" t="s">
        <v>3148</v>
      </c>
      <c r="E21" t="s">
        <v>3149</v>
      </c>
      <c r="F21" t="s">
        <v>3110</v>
      </c>
      <c r="G21" t="s">
        <v>1517</v>
      </c>
    </row>
    <row r="22" spans="1:7" ht="11.25" customHeight="1">
      <c r="A22" t="s">
        <v>16</v>
      </c>
      <c r="B22" t="s">
        <v>3142</v>
      </c>
      <c r="C22" t="s">
        <v>3143</v>
      </c>
      <c r="D22" t="s">
        <v>3150</v>
      </c>
      <c r="E22" t="s">
        <v>3151</v>
      </c>
      <c r="F22" t="s">
        <v>3114</v>
      </c>
      <c r="G22" t="s">
        <v>1533</v>
      </c>
    </row>
    <row r="23" spans="1:7" ht="11.25" customHeight="1">
      <c r="A23" t="s">
        <v>16</v>
      </c>
      <c r="B23" t="s">
        <v>3142</v>
      </c>
      <c r="C23" t="s">
        <v>3143</v>
      </c>
      <c r="D23" t="s">
        <v>3152</v>
      </c>
      <c r="E23" t="s">
        <v>3153</v>
      </c>
      <c r="F23" t="s">
        <v>3110</v>
      </c>
      <c r="G23" t="s">
        <v>1540</v>
      </c>
    </row>
    <row r="24" spans="1:7" ht="11.25" customHeight="1">
      <c r="A24" t="s">
        <v>16</v>
      </c>
      <c r="B24" t="s">
        <v>3142</v>
      </c>
      <c r="C24" t="s">
        <v>3143</v>
      </c>
      <c r="D24" t="s">
        <v>3154</v>
      </c>
      <c r="E24" t="s">
        <v>3155</v>
      </c>
      <c r="F24" t="s">
        <v>3110</v>
      </c>
      <c r="G24" t="s">
        <v>1548</v>
      </c>
    </row>
    <row r="25" spans="1:7" ht="11.25" customHeight="1">
      <c r="A25" t="s">
        <v>16</v>
      </c>
      <c r="B25" t="s">
        <v>3142</v>
      </c>
      <c r="C25" t="s">
        <v>3143</v>
      </c>
      <c r="D25" t="s">
        <v>3156</v>
      </c>
      <c r="E25" t="s">
        <v>3157</v>
      </c>
      <c r="F25" t="s">
        <v>3110</v>
      </c>
      <c r="G25" t="s">
        <v>1555</v>
      </c>
    </row>
    <row r="26" spans="1:7" ht="11.25" customHeight="1">
      <c r="A26" t="s">
        <v>16</v>
      </c>
      <c r="B26" t="s">
        <v>3142</v>
      </c>
      <c r="C26" t="s">
        <v>3143</v>
      </c>
      <c r="D26" t="s">
        <v>3158</v>
      </c>
      <c r="E26" t="s">
        <v>3159</v>
      </c>
      <c r="F26" t="s">
        <v>3114</v>
      </c>
      <c r="G26" t="s">
        <v>1559</v>
      </c>
    </row>
    <row r="27" spans="1:7" ht="11.25" customHeight="1">
      <c r="A27" t="s">
        <v>16</v>
      </c>
      <c r="B27" t="s">
        <v>3142</v>
      </c>
      <c r="C27" t="s">
        <v>3143</v>
      </c>
      <c r="D27" t="s">
        <v>3160</v>
      </c>
      <c r="E27" t="s">
        <v>3161</v>
      </c>
      <c r="F27" t="s">
        <v>3114</v>
      </c>
      <c r="G27" t="s">
        <v>1564</v>
      </c>
    </row>
    <row r="28" spans="1:7" ht="11.25" customHeight="1">
      <c r="A28" t="s">
        <v>16</v>
      </c>
      <c r="B28" t="s">
        <v>3142</v>
      </c>
      <c r="C28" t="s">
        <v>3143</v>
      </c>
      <c r="D28" t="s">
        <v>3162</v>
      </c>
      <c r="E28" t="s">
        <v>3163</v>
      </c>
      <c r="F28" t="s">
        <v>3114</v>
      </c>
      <c r="G28" t="s">
        <v>1572</v>
      </c>
    </row>
    <row r="29" spans="1:7" ht="11.25" customHeight="1">
      <c r="A29" t="s">
        <v>16</v>
      </c>
      <c r="B29" t="s">
        <v>3164</v>
      </c>
      <c r="C29" t="s">
        <v>3165</v>
      </c>
      <c r="D29" t="s">
        <v>3164</v>
      </c>
      <c r="E29" t="s">
        <v>3165</v>
      </c>
      <c r="F29" t="s">
        <v>3141</v>
      </c>
      <c r="G29" t="s">
        <v>1574</v>
      </c>
    </row>
    <row r="30" spans="1:7" ht="11.25" customHeight="1">
      <c r="A30" t="s">
        <v>16</v>
      </c>
      <c r="B30" t="s">
        <v>3166</v>
      </c>
      <c r="C30" t="s">
        <v>3167</v>
      </c>
      <c r="D30" t="s">
        <v>3166</v>
      </c>
      <c r="E30" t="s">
        <v>3167</v>
      </c>
      <c r="F30" t="s">
        <v>3141</v>
      </c>
      <c r="G30" t="s">
        <v>1577</v>
      </c>
    </row>
    <row r="31" spans="1:7" ht="11.25" customHeight="1">
      <c r="A31" t="s">
        <v>16</v>
      </c>
      <c r="B31" t="s">
        <v>3168</v>
      </c>
      <c r="C31" t="s">
        <v>3169</v>
      </c>
      <c r="D31" t="s">
        <v>3168</v>
      </c>
      <c r="E31" t="s">
        <v>3169</v>
      </c>
      <c r="F31" t="s">
        <v>3141</v>
      </c>
      <c r="G31" t="s">
        <v>1583</v>
      </c>
    </row>
    <row r="32" spans="1:7" ht="11.25" customHeight="1">
      <c r="A32" t="s">
        <v>16</v>
      </c>
      <c r="B32" t="s">
        <v>3170</v>
      </c>
      <c r="C32" t="s">
        <v>3171</v>
      </c>
      <c r="D32" t="s">
        <v>3172</v>
      </c>
      <c r="E32" t="s">
        <v>3173</v>
      </c>
      <c r="F32" t="s">
        <v>3114</v>
      </c>
      <c r="G32" t="s">
        <v>1585</v>
      </c>
    </row>
    <row r="33" spans="1:7" ht="11.25" customHeight="1">
      <c r="A33" t="s">
        <v>16</v>
      </c>
      <c r="B33" t="s">
        <v>3170</v>
      </c>
      <c r="C33" t="s">
        <v>3171</v>
      </c>
      <c r="D33" t="s">
        <v>3174</v>
      </c>
      <c r="E33" t="s">
        <v>3175</v>
      </c>
      <c r="F33" t="s">
        <v>3114</v>
      </c>
      <c r="G33" t="s">
        <v>1587</v>
      </c>
    </row>
    <row r="34" spans="1:7" ht="11.25" customHeight="1">
      <c r="A34" t="s">
        <v>16</v>
      </c>
      <c r="B34" t="s">
        <v>3170</v>
      </c>
      <c r="C34" t="s">
        <v>3171</v>
      </c>
      <c r="D34" t="s">
        <v>3176</v>
      </c>
      <c r="E34" t="s">
        <v>3177</v>
      </c>
      <c r="F34" t="s">
        <v>3114</v>
      </c>
      <c r="G34" t="s">
        <v>1589</v>
      </c>
    </row>
    <row r="35" spans="1:7" ht="11.25" customHeight="1">
      <c r="A35" t="s">
        <v>16</v>
      </c>
      <c r="B35" t="s">
        <v>3170</v>
      </c>
      <c r="C35" t="s">
        <v>3171</v>
      </c>
      <c r="D35" t="s">
        <v>3170</v>
      </c>
      <c r="E35" t="s">
        <v>3171</v>
      </c>
      <c r="F35" t="s">
        <v>3111</v>
      </c>
      <c r="G35" t="s">
        <v>1594</v>
      </c>
    </row>
    <row r="36" spans="1:7" ht="11.25" customHeight="1">
      <c r="A36" t="s">
        <v>16</v>
      </c>
      <c r="B36" t="s">
        <v>3170</v>
      </c>
      <c r="C36" t="s">
        <v>3171</v>
      </c>
      <c r="D36" t="s">
        <v>3178</v>
      </c>
      <c r="E36" t="s">
        <v>3179</v>
      </c>
      <c r="F36" t="s">
        <v>3110</v>
      </c>
      <c r="G36" t="s">
        <v>1599</v>
      </c>
    </row>
    <row r="37" spans="1:7" ht="11.25" customHeight="1">
      <c r="A37" t="s">
        <v>16</v>
      </c>
      <c r="B37" t="s">
        <v>3170</v>
      </c>
      <c r="C37" t="s">
        <v>3171</v>
      </c>
      <c r="D37" t="s">
        <v>3180</v>
      </c>
      <c r="E37" t="s">
        <v>3181</v>
      </c>
      <c r="F37" t="s">
        <v>3114</v>
      </c>
      <c r="G37" t="s">
        <v>1603</v>
      </c>
    </row>
    <row r="38" spans="1:7" ht="11.25" customHeight="1">
      <c r="A38" t="s">
        <v>16</v>
      </c>
      <c r="B38" t="s">
        <v>3170</v>
      </c>
      <c r="C38" t="s">
        <v>3171</v>
      </c>
      <c r="D38" t="s">
        <v>3182</v>
      </c>
      <c r="E38" t="s">
        <v>3183</v>
      </c>
      <c r="F38" t="s">
        <v>3114</v>
      </c>
      <c r="G38" t="s">
        <v>1611</v>
      </c>
    </row>
    <row r="39" spans="1:7" ht="11.25" customHeight="1">
      <c r="A39" t="s">
        <v>16</v>
      </c>
      <c r="B39" t="s">
        <v>3170</v>
      </c>
      <c r="C39" t="s">
        <v>3171</v>
      </c>
      <c r="D39" t="s">
        <v>3184</v>
      </c>
      <c r="E39" t="s">
        <v>3185</v>
      </c>
      <c r="F39" t="s">
        <v>3114</v>
      </c>
      <c r="G39" t="s">
        <v>1617</v>
      </c>
    </row>
    <row r="40" spans="1:7" ht="11.25" customHeight="1">
      <c r="A40" t="s">
        <v>16</v>
      </c>
      <c r="B40" t="s">
        <v>3170</v>
      </c>
      <c r="C40" t="s">
        <v>3171</v>
      </c>
      <c r="D40" t="s">
        <v>3186</v>
      </c>
      <c r="E40" t="s">
        <v>3187</v>
      </c>
      <c r="F40" t="s">
        <v>3114</v>
      </c>
      <c r="G40" t="s">
        <v>1622</v>
      </c>
    </row>
    <row r="41" spans="1:7" ht="11.25" customHeight="1">
      <c r="A41" t="s">
        <v>16</v>
      </c>
      <c r="B41" t="s">
        <v>3188</v>
      </c>
      <c r="C41" t="s">
        <v>3189</v>
      </c>
      <c r="D41" t="s">
        <v>3188</v>
      </c>
      <c r="E41" t="s">
        <v>3189</v>
      </c>
      <c r="F41" t="s">
        <v>3141</v>
      </c>
      <c r="G41" t="s">
        <v>1626</v>
      </c>
    </row>
    <row r="42" spans="1:7" ht="11.25" customHeight="1">
      <c r="A42" t="s">
        <v>16</v>
      </c>
      <c r="B42" t="s">
        <v>3190</v>
      </c>
      <c r="C42" t="s">
        <v>3191</v>
      </c>
      <c r="D42" t="s">
        <v>3192</v>
      </c>
      <c r="E42" t="s">
        <v>3193</v>
      </c>
      <c r="F42" t="s">
        <v>3114</v>
      </c>
      <c r="G42" t="s">
        <v>1629</v>
      </c>
    </row>
    <row r="43" spans="1:7" ht="11.25" customHeight="1">
      <c r="A43" t="s">
        <v>16</v>
      </c>
      <c r="B43" t="s">
        <v>3190</v>
      </c>
      <c r="C43" t="s">
        <v>3191</v>
      </c>
      <c r="D43" t="s">
        <v>3194</v>
      </c>
      <c r="E43" t="s">
        <v>3195</v>
      </c>
      <c r="F43" t="s">
        <v>3114</v>
      </c>
      <c r="G43" t="s">
        <v>1636</v>
      </c>
    </row>
    <row r="44" spans="1:7" ht="11.25" customHeight="1">
      <c r="A44" t="s">
        <v>16</v>
      </c>
      <c r="B44" t="s">
        <v>3190</v>
      </c>
      <c r="C44" t="s">
        <v>3191</v>
      </c>
      <c r="D44" t="s">
        <v>3196</v>
      </c>
      <c r="E44" t="s">
        <v>3197</v>
      </c>
      <c r="F44" t="s">
        <v>3114</v>
      </c>
      <c r="G44" t="s">
        <v>1645</v>
      </c>
    </row>
    <row r="45" spans="1:7" ht="11.25" customHeight="1">
      <c r="A45" t="s">
        <v>16</v>
      </c>
      <c r="B45" t="s">
        <v>3190</v>
      </c>
      <c r="C45" t="s">
        <v>3191</v>
      </c>
      <c r="D45" t="s">
        <v>3198</v>
      </c>
      <c r="E45" t="s">
        <v>3199</v>
      </c>
      <c r="F45" t="s">
        <v>3114</v>
      </c>
      <c r="G45" t="s">
        <v>1650</v>
      </c>
    </row>
    <row r="46" spans="1:7" ht="11.25" customHeight="1">
      <c r="A46" t="s">
        <v>16</v>
      </c>
      <c r="B46" t="s">
        <v>3190</v>
      </c>
      <c r="C46" t="s">
        <v>3191</v>
      </c>
      <c r="D46" t="s">
        <v>3200</v>
      </c>
      <c r="E46" t="s">
        <v>3201</v>
      </c>
      <c r="F46" t="s">
        <v>3110</v>
      </c>
      <c r="G46" t="s">
        <v>1654</v>
      </c>
    </row>
    <row r="47" spans="1:7" ht="11.25" customHeight="1">
      <c r="A47" t="s">
        <v>16</v>
      </c>
      <c r="B47" t="s">
        <v>3190</v>
      </c>
      <c r="C47" t="s">
        <v>3191</v>
      </c>
      <c r="D47" t="s">
        <v>3202</v>
      </c>
      <c r="E47" t="s">
        <v>3203</v>
      </c>
      <c r="F47" t="s">
        <v>3114</v>
      </c>
      <c r="G47" t="s">
        <v>1660</v>
      </c>
    </row>
    <row r="48" spans="1:7" ht="11.25" customHeight="1">
      <c r="A48" t="s">
        <v>16</v>
      </c>
      <c r="B48" t="s">
        <v>3190</v>
      </c>
      <c r="C48" t="s">
        <v>3191</v>
      </c>
      <c r="D48" t="s">
        <v>3190</v>
      </c>
      <c r="E48" t="s">
        <v>3191</v>
      </c>
      <c r="F48" t="s">
        <v>3111</v>
      </c>
      <c r="G48" t="s">
        <v>1665</v>
      </c>
    </row>
    <row r="49" spans="1:7" ht="11.25" customHeight="1">
      <c r="A49" t="s">
        <v>16</v>
      </c>
      <c r="B49" t="s">
        <v>3190</v>
      </c>
      <c r="C49" t="s">
        <v>3191</v>
      </c>
      <c r="D49" t="s">
        <v>3204</v>
      </c>
      <c r="E49" t="s">
        <v>3205</v>
      </c>
      <c r="F49" t="s">
        <v>3110</v>
      </c>
      <c r="G49" t="s">
        <v>1668</v>
      </c>
    </row>
    <row r="50" spans="1:7" ht="11.25" customHeight="1">
      <c r="A50" t="s">
        <v>16</v>
      </c>
      <c r="B50" t="s">
        <v>3190</v>
      </c>
      <c r="C50" t="s">
        <v>3191</v>
      </c>
      <c r="D50" t="s">
        <v>3206</v>
      </c>
      <c r="E50" t="s">
        <v>3207</v>
      </c>
      <c r="F50" t="s">
        <v>3114</v>
      </c>
      <c r="G50" t="s">
        <v>1672</v>
      </c>
    </row>
    <row r="51" spans="1:7" ht="11.25" customHeight="1">
      <c r="A51" t="s">
        <v>16</v>
      </c>
      <c r="B51" t="s">
        <v>3208</v>
      </c>
      <c r="C51" t="s">
        <v>3209</v>
      </c>
      <c r="D51" t="s">
        <v>3208</v>
      </c>
      <c r="E51" t="s">
        <v>3209</v>
      </c>
      <c r="F51" t="s">
        <v>3141</v>
      </c>
      <c r="G51" t="s">
        <v>1676</v>
      </c>
    </row>
    <row r="52" spans="1:7" ht="11.25" customHeight="1">
      <c r="A52" t="s">
        <v>16</v>
      </c>
      <c r="B52" t="s">
        <v>3210</v>
      </c>
      <c r="C52" t="s">
        <v>3211</v>
      </c>
      <c r="D52" t="s">
        <v>3212</v>
      </c>
      <c r="E52" t="s">
        <v>3213</v>
      </c>
      <c r="F52" t="s">
        <v>3110</v>
      </c>
      <c r="G52" t="s">
        <v>1680</v>
      </c>
    </row>
    <row r="53" spans="1:7" ht="11.25" customHeight="1">
      <c r="A53" t="s">
        <v>16</v>
      </c>
      <c r="B53" t="s">
        <v>3210</v>
      </c>
      <c r="C53" t="s">
        <v>3211</v>
      </c>
      <c r="D53" t="s">
        <v>3214</v>
      </c>
      <c r="E53" t="s">
        <v>3215</v>
      </c>
      <c r="F53" t="s">
        <v>3114</v>
      </c>
      <c r="G53" t="s">
        <v>1682</v>
      </c>
    </row>
    <row r="54" spans="1:7" ht="11.25" customHeight="1">
      <c r="A54" t="s">
        <v>16</v>
      </c>
      <c r="B54" t="s">
        <v>3210</v>
      </c>
      <c r="C54" t="s">
        <v>3211</v>
      </c>
      <c r="D54" t="s">
        <v>3216</v>
      </c>
      <c r="E54" t="s">
        <v>3217</v>
      </c>
      <c r="F54" t="s">
        <v>3114</v>
      </c>
      <c r="G54" t="s">
        <v>1685</v>
      </c>
    </row>
    <row r="55" spans="1:7" ht="11.25" customHeight="1">
      <c r="A55" t="s">
        <v>16</v>
      </c>
      <c r="B55" t="s">
        <v>3210</v>
      </c>
      <c r="C55" t="s">
        <v>3211</v>
      </c>
      <c r="D55" t="s">
        <v>3218</v>
      </c>
      <c r="E55" t="s">
        <v>3219</v>
      </c>
      <c r="F55" t="s">
        <v>3114</v>
      </c>
      <c r="G55" t="s">
        <v>1689</v>
      </c>
    </row>
    <row r="56" spans="1:7" ht="11.25" customHeight="1">
      <c r="A56" t="s">
        <v>16</v>
      </c>
      <c r="B56" t="s">
        <v>3210</v>
      </c>
      <c r="C56" t="s">
        <v>3211</v>
      </c>
      <c r="D56" t="s">
        <v>3210</v>
      </c>
      <c r="E56" t="s">
        <v>3211</v>
      </c>
      <c r="F56" t="s">
        <v>3111</v>
      </c>
      <c r="G56" t="s">
        <v>1692</v>
      </c>
    </row>
    <row r="57" spans="1:7" ht="11.25" customHeight="1">
      <c r="A57" t="s">
        <v>16</v>
      </c>
      <c r="B57" t="s">
        <v>3210</v>
      </c>
      <c r="C57" t="s">
        <v>3211</v>
      </c>
      <c r="D57" t="s">
        <v>3220</v>
      </c>
      <c r="E57" t="s">
        <v>3221</v>
      </c>
      <c r="F57" t="s">
        <v>3110</v>
      </c>
      <c r="G57" t="s">
        <v>1695</v>
      </c>
    </row>
    <row r="58" spans="1:7" ht="11.25" customHeight="1">
      <c r="A58" t="s">
        <v>16</v>
      </c>
      <c r="B58" t="s">
        <v>3210</v>
      </c>
      <c r="C58" t="s">
        <v>3211</v>
      </c>
      <c r="D58" t="s">
        <v>3222</v>
      </c>
      <c r="E58" t="s">
        <v>3223</v>
      </c>
      <c r="F58" t="s">
        <v>3114</v>
      </c>
      <c r="G58" t="s">
        <v>1698</v>
      </c>
    </row>
    <row r="59" spans="1:7" ht="11.25" customHeight="1">
      <c r="A59" t="s">
        <v>16</v>
      </c>
      <c r="B59" t="s">
        <v>3210</v>
      </c>
      <c r="C59" t="s">
        <v>3211</v>
      </c>
      <c r="D59" t="s">
        <v>3224</v>
      </c>
      <c r="E59" t="s">
        <v>3225</v>
      </c>
      <c r="F59" t="s">
        <v>3110</v>
      </c>
      <c r="G59" t="s">
        <v>1702</v>
      </c>
    </row>
    <row r="60" spans="1:7" ht="11.25" customHeight="1">
      <c r="A60" t="s">
        <v>16</v>
      </c>
      <c r="B60" t="s">
        <v>3210</v>
      </c>
      <c r="C60" t="s">
        <v>3211</v>
      </c>
      <c r="D60" t="s">
        <v>3226</v>
      </c>
      <c r="E60" t="s">
        <v>3227</v>
      </c>
      <c r="F60" t="s">
        <v>3114</v>
      </c>
      <c r="G60" t="s">
        <v>1705</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2022</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2225</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3272</v>
      </c>
      <c r="C76" t="s">
        <v>3273</v>
      </c>
      <c r="D76" t="s">
        <v>3272</v>
      </c>
      <c r="E76" t="s">
        <v>3273</v>
      </c>
      <c r="F76" t="s">
        <v>3141</v>
      </c>
      <c r="G76" t="s">
        <v>3274</v>
      </c>
    </row>
    <row r="77" spans="1:7" ht="11.25" customHeight="1">
      <c r="A77" t="s">
        <v>16</v>
      </c>
      <c r="B77" t="s">
        <v>3275</v>
      </c>
      <c r="C77" t="s">
        <v>3276</v>
      </c>
      <c r="D77" t="s">
        <v>3277</v>
      </c>
      <c r="E77" t="s">
        <v>3278</v>
      </c>
      <c r="F77" t="s">
        <v>3110</v>
      </c>
      <c r="G77" t="s">
        <v>3279</v>
      </c>
    </row>
    <row r="78" spans="1:7" ht="11.25" customHeight="1">
      <c r="A78" t="s">
        <v>16</v>
      </c>
      <c r="B78" t="s">
        <v>3275</v>
      </c>
      <c r="C78" t="s">
        <v>3276</v>
      </c>
      <c r="D78" t="s">
        <v>3280</v>
      </c>
      <c r="E78" t="s">
        <v>3281</v>
      </c>
      <c r="F78" t="s">
        <v>3110</v>
      </c>
      <c r="G78" t="s">
        <v>3282</v>
      </c>
    </row>
    <row r="79" spans="1:7" ht="11.25" customHeight="1">
      <c r="A79" t="s">
        <v>16</v>
      </c>
      <c r="B79" t="s">
        <v>3275</v>
      </c>
      <c r="C79" t="s">
        <v>3276</v>
      </c>
      <c r="D79" t="s">
        <v>3283</v>
      </c>
      <c r="E79" t="s">
        <v>3284</v>
      </c>
      <c r="F79" t="s">
        <v>3114</v>
      </c>
      <c r="G79" t="s">
        <v>3285</v>
      </c>
    </row>
    <row r="80" spans="1:7" ht="11.25" customHeight="1">
      <c r="A80" t="s">
        <v>16</v>
      </c>
      <c r="B80" t="s">
        <v>3275</v>
      </c>
      <c r="C80" t="s">
        <v>3276</v>
      </c>
      <c r="D80" t="s">
        <v>3286</v>
      </c>
      <c r="E80" t="s">
        <v>3287</v>
      </c>
      <c r="F80" t="s">
        <v>3114</v>
      </c>
      <c r="G80" t="s">
        <v>3288</v>
      </c>
    </row>
    <row r="81" spans="1:7" ht="11.25" customHeight="1">
      <c r="A81" t="s">
        <v>16</v>
      </c>
      <c r="B81" t="s">
        <v>3275</v>
      </c>
      <c r="C81" t="s">
        <v>3276</v>
      </c>
      <c r="D81" t="s">
        <v>3289</v>
      </c>
      <c r="E81" t="s">
        <v>3290</v>
      </c>
      <c r="F81" t="s">
        <v>3266</v>
      </c>
      <c r="G81" t="s">
        <v>3291</v>
      </c>
    </row>
    <row r="82" spans="1:7" ht="11.25" customHeight="1">
      <c r="A82" t="s">
        <v>16</v>
      </c>
      <c r="B82" t="s">
        <v>3275</v>
      </c>
      <c r="C82" t="s">
        <v>3276</v>
      </c>
      <c r="D82" t="s">
        <v>3292</v>
      </c>
      <c r="E82" t="s">
        <v>3293</v>
      </c>
      <c r="F82" t="s">
        <v>3114</v>
      </c>
      <c r="G82" t="s">
        <v>3294</v>
      </c>
    </row>
    <row r="83" spans="1:7" ht="11.25" customHeight="1">
      <c r="A83" t="s">
        <v>16</v>
      </c>
      <c r="B83" t="s">
        <v>3275</v>
      </c>
      <c r="C83" t="s">
        <v>3276</v>
      </c>
      <c r="D83" t="s">
        <v>3295</v>
      </c>
      <c r="E83" t="s">
        <v>3296</v>
      </c>
      <c r="F83" t="s">
        <v>3114</v>
      </c>
      <c r="G83" t="s">
        <v>3297</v>
      </c>
    </row>
    <row r="84" spans="1:7" ht="11.25" customHeight="1">
      <c r="A84" t="s">
        <v>16</v>
      </c>
      <c r="B84" t="s">
        <v>3275</v>
      </c>
      <c r="C84" t="s">
        <v>3276</v>
      </c>
      <c r="D84" t="s">
        <v>3298</v>
      </c>
      <c r="E84" t="s">
        <v>3299</v>
      </c>
      <c r="F84" t="s">
        <v>3114</v>
      </c>
      <c r="G84" t="s">
        <v>3300</v>
      </c>
    </row>
    <row r="85" spans="1:7" ht="11.25" customHeight="1">
      <c r="A85" t="s">
        <v>16</v>
      </c>
      <c r="B85" t="s">
        <v>3275</v>
      </c>
      <c r="C85" t="s">
        <v>3276</v>
      </c>
      <c r="D85" t="s">
        <v>3275</v>
      </c>
      <c r="E85" t="s">
        <v>3276</v>
      </c>
      <c r="F85" t="s">
        <v>3111</v>
      </c>
      <c r="G85" t="s">
        <v>3301</v>
      </c>
    </row>
    <row r="86" spans="1:7" ht="11.25" customHeight="1">
      <c r="A86" t="s">
        <v>16</v>
      </c>
      <c r="B86" t="s">
        <v>3275</v>
      </c>
      <c r="C86" t="s">
        <v>3276</v>
      </c>
      <c r="D86" t="s">
        <v>3302</v>
      </c>
      <c r="E86" t="s">
        <v>3303</v>
      </c>
      <c r="F86" t="s">
        <v>3114</v>
      </c>
      <c r="G86" t="s">
        <v>3304</v>
      </c>
    </row>
    <row r="87" spans="1:7" ht="11.25" customHeight="1">
      <c r="A87" t="s">
        <v>16</v>
      </c>
      <c r="B87" t="s">
        <v>3275</v>
      </c>
      <c r="C87" t="s">
        <v>3276</v>
      </c>
      <c r="D87" t="s">
        <v>3305</v>
      </c>
      <c r="E87" t="s">
        <v>3306</v>
      </c>
      <c r="F87" t="s">
        <v>3114</v>
      </c>
      <c r="G87" t="s">
        <v>3307</v>
      </c>
    </row>
    <row r="88" spans="1:7" ht="11.25" customHeight="1">
      <c r="A88" t="s">
        <v>16</v>
      </c>
      <c r="B88" t="s">
        <v>3275</v>
      </c>
      <c r="C88" t="s">
        <v>3276</v>
      </c>
      <c r="D88" t="s">
        <v>3308</v>
      </c>
      <c r="E88" t="s">
        <v>3309</v>
      </c>
      <c r="F88" t="s">
        <v>3114</v>
      </c>
      <c r="G88" t="s">
        <v>3310</v>
      </c>
    </row>
    <row r="89" spans="1:7" ht="11.25" customHeight="1">
      <c r="A89" t="s">
        <v>16</v>
      </c>
      <c r="B89" t="s">
        <v>3275</v>
      </c>
      <c r="C89" t="s">
        <v>3276</v>
      </c>
      <c r="D89" t="s">
        <v>3311</v>
      </c>
      <c r="E89" t="s">
        <v>3312</v>
      </c>
      <c r="F89" t="s">
        <v>3114</v>
      </c>
      <c r="G89" t="s">
        <v>3313</v>
      </c>
    </row>
    <row r="90" spans="1:7" ht="11.25" customHeight="1">
      <c r="A90" t="s">
        <v>16</v>
      </c>
      <c r="B90" t="s">
        <v>3275</v>
      </c>
      <c r="C90" t="s">
        <v>3276</v>
      </c>
      <c r="D90" t="s">
        <v>3314</v>
      </c>
      <c r="E90" t="s">
        <v>3315</v>
      </c>
      <c r="F90" t="s">
        <v>3110</v>
      </c>
      <c r="G90" t="s">
        <v>3316</v>
      </c>
    </row>
    <row r="91" spans="1:7" ht="11.25" customHeight="1">
      <c r="A91" t="s">
        <v>16</v>
      </c>
      <c r="B91" t="s">
        <v>3317</v>
      </c>
      <c r="C91" t="s">
        <v>3318</v>
      </c>
      <c r="D91" t="s">
        <v>3317</v>
      </c>
      <c r="E91" t="s">
        <v>3318</v>
      </c>
      <c r="F91" t="s">
        <v>3141</v>
      </c>
      <c r="G91" t="s">
        <v>3319</v>
      </c>
    </row>
    <row r="92" spans="1:7" ht="11.25" customHeight="1">
      <c r="A92" t="s">
        <v>16</v>
      </c>
      <c r="B92" t="s">
        <v>101</v>
      </c>
      <c r="C92" t="s">
        <v>102</v>
      </c>
      <c r="D92" t="s">
        <v>101</v>
      </c>
      <c r="E92" t="s">
        <v>102</v>
      </c>
      <c r="F92" t="s">
        <v>3141</v>
      </c>
      <c r="G92" t="s">
        <v>100</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32"/>
    <col min="2" max="2" width="84.25" style="32" customWidth="1"/>
    <col min="3" max="3" width="9.125" style="32"/>
  </cols>
  <sheetData>
    <row r="1" spans="1:3" ht="11.25" customHeight="1">
      <c r="A1" s="32" t="s">
        <v>3414</v>
      </c>
      <c r="B1" s="32" t="s">
        <v>3415</v>
      </c>
      <c r="C1" s="32" t="s">
        <v>1166</v>
      </c>
    </row>
    <row r="2" spans="1:3" ht="11.25" customHeight="1">
      <c r="A2" s="32">
        <v>4189678</v>
      </c>
      <c r="B2" s="32" t="s">
        <v>3416</v>
      </c>
      <c r="C2" s="32" t="s">
        <v>3417</v>
      </c>
    </row>
    <row r="3" spans="1:3" ht="11.25" customHeight="1">
      <c r="A3" s="32">
        <v>4190415</v>
      </c>
      <c r="B3" s="32" t="s">
        <v>3418</v>
      </c>
      <c r="C3" s="32" t="s">
        <v>3417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75" customWidth="1"/>
    <col min="2" max="5" width="9.125" style="75"/>
  </cols>
  <sheetData>
    <row r="1" spans="1:5" ht="15" customHeight="1">
      <c r="A1" s="76" t="s">
        <v>3419</v>
      </c>
      <c r="B1" s="76" t="s">
        <v>3420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3421</v>
      </c>
      <c r="B1" t="b">
        <v>1</v>
      </c>
    </row>
    <row r="2" spans="1:2" ht="11.25" customHeight="1">
      <c r="A2" t="s">
        <v>3422</v>
      </c>
      <c r="B2" t="b">
        <v>0</v>
      </c>
    </row>
    <row r="3" spans="1:2" ht="11.25" customHeight="1">
      <c r="A3" t="s">
        <v>3423</v>
      </c>
      <c r="B3" t="b">
        <v>0</v>
      </c>
    </row>
    <row r="4" spans="1:2" ht="11.25" customHeight="1">
      <c r="A4" t="s">
        <v>3424</v>
      </c>
      <c r="B4" t="b">
        <v>0</v>
      </c>
    </row>
    <row r="5" spans="1:2" ht="11.25" customHeight="1">
      <c r="A5" t="s">
        <v>3425</v>
      </c>
      <c r="B5" t="b">
        <v>1</v>
      </c>
    </row>
    <row r="6" spans="1:2" ht="11.25" customHeight="1">
      <c r="A6" t="s">
        <v>3426</v>
      </c>
      <c r="B6" t="b">
        <v>0</v>
      </c>
    </row>
    <row r="7" spans="1:2" ht="11.25" customHeight="1">
      <c r="A7" t="s">
        <v>3427</v>
      </c>
      <c r="B7" t="b">
        <v>0</v>
      </c>
    </row>
    <row r="8" spans="1:2" ht="11.25" customHeight="1">
      <c r="A8" t="s">
        <v>3428</v>
      </c>
      <c r="B8" t="b">
        <v>0</v>
      </c>
    </row>
    <row r="9" spans="1:2" ht="11.25" customHeight="1">
      <c r="A9" t="s">
        <v>3429</v>
      </c>
      <c r="B9" t="b">
        <v>1</v>
      </c>
    </row>
    <row r="10" spans="1:2" ht="11.25" customHeight="1">
      <c r="A10" t="s">
        <v>3430</v>
      </c>
      <c r="B10" t="b">
        <v>0</v>
      </c>
    </row>
    <row r="11" spans="1:2" ht="11.25" customHeight="1">
      <c r="A11" t="s">
        <v>3431</v>
      </c>
      <c r="B11" t="b">
        <v>0</v>
      </c>
    </row>
    <row r="12" spans="1:2" ht="11.25" customHeight="1">
      <c r="A12" t="s">
        <v>3432</v>
      </c>
      <c r="B12" t="b">
        <v>0</v>
      </c>
    </row>
    <row r="13" spans="1:2" ht="11.25" customHeight="1">
      <c r="A13" t="s">
        <v>3433</v>
      </c>
      <c r="B13" t="b">
        <v>0</v>
      </c>
    </row>
    <row r="14" spans="1:2" ht="11.25" customHeight="1">
      <c r="A14" t="s">
        <v>3434</v>
      </c>
      <c r="B14" t="b">
        <v>0</v>
      </c>
    </row>
    <row r="15" spans="1:2" ht="11.25" customHeight="1">
      <c r="A15" t="s">
        <v>3435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customWidth="1"/>
    <col min="2" max="2" width="21.125" customWidth="1"/>
  </cols>
  <sheetData>
    <row r="1" spans="1:2" ht="11.25" customHeight="1">
      <c r="A1" s="5" t="s">
        <v>3436</v>
      </c>
      <c r="B1" s="5" t="s">
        <v>3437</v>
      </c>
    </row>
    <row r="2" spans="1:2" ht="11.25" customHeight="1">
      <c r="A2" s="2" t="s">
        <v>3438</v>
      </c>
      <c r="B2" s="2" t="s">
        <v>3439</v>
      </c>
    </row>
    <row r="3" spans="1:2" ht="11.25" customHeight="1">
      <c r="A3" s="2" t="s">
        <v>3440</v>
      </c>
      <c r="B3" s="2" t="s">
        <v>3441</v>
      </c>
    </row>
    <row r="4" spans="1:2" ht="11.25" customHeight="1">
      <c r="A4" s="2" t="s">
        <v>3442</v>
      </c>
      <c r="B4" s="2" t="s">
        <v>3443</v>
      </c>
    </row>
    <row r="5" spans="1:2" ht="11.25" customHeight="1">
      <c r="A5" s="2" t="s">
        <v>3444</v>
      </c>
      <c r="B5" s="2" t="s">
        <v>3445</v>
      </c>
    </row>
    <row r="6" spans="1:2" ht="11.25" customHeight="1">
      <c r="A6" s="2" t="s">
        <v>3446</v>
      </c>
      <c r="B6" s="2" t="s">
        <v>3447</v>
      </c>
    </row>
    <row r="7" spans="1:2" ht="11.25" customHeight="1">
      <c r="A7" s="2" t="s">
        <v>3448</v>
      </c>
      <c r="B7" s="2" t="s">
        <v>3449</v>
      </c>
    </row>
    <row r="8" spans="1:2" ht="11.25" customHeight="1">
      <c r="A8" s="2" t="s">
        <v>3450</v>
      </c>
      <c r="B8" s="2" t="s">
        <v>3451</v>
      </c>
    </row>
    <row r="9" spans="1:2" ht="11.25" customHeight="1">
      <c r="A9" s="2" t="s">
        <v>3452</v>
      </c>
      <c r="B9" s="2" t="s">
        <v>3453</v>
      </c>
    </row>
    <row r="10" spans="1:2" ht="11.25" customHeight="1">
      <c r="A10" s="2" t="s">
        <v>3454</v>
      </c>
      <c r="B10" s="2" t="s">
        <v>3455</v>
      </c>
    </row>
    <row r="11" spans="1:2" ht="11.25" customHeight="1">
      <c r="A11" s="2" t="s">
        <v>3456</v>
      </c>
      <c r="B11" s="2" t="s">
        <v>3457</v>
      </c>
    </row>
    <row r="12" spans="1:2" ht="11.25" customHeight="1">
      <c r="A12" s="2" t="s">
        <v>3458</v>
      </c>
      <c r="B12" s="2" t="s">
        <v>3459</v>
      </c>
    </row>
    <row r="13" spans="1:2" ht="11.25" customHeight="1">
      <c r="A13" s="2" t="s">
        <v>3460</v>
      </c>
      <c r="B13" s="2" t="s">
        <v>3461</v>
      </c>
    </row>
    <row r="14" spans="1:2" ht="11.25" customHeight="1">
      <c r="A14" s="2" t="s">
        <v>3462</v>
      </c>
      <c r="B14" s="2" t="s">
        <v>3463</v>
      </c>
    </row>
    <row r="15" spans="1:2" ht="11.25" customHeight="1">
      <c r="A15" s="2" t="s">
        <v>3464</v>
      </c>
      <c r="B15" s="2" t="s">
        <v>3465</v>
      </c>
    </row>
    <row r="16" spans="1:2" ht="11.25" customHeight="1">
      <c r="A16" s="2" t="s">
        <v>3466</v>
      </c>
      <c r="B16" s="2" t="s">
        <v>3467</v>
      </c>
    </row>
    <row r="17" spans="1:2" ht="11.25" customHeight="1">
      <c r="A17" s="2" t="s">
        <v>3468</v>
      </c>
      <c r="B17" s="2" t="s">
        <v>3469</v>
      </c>
    </row>
    <row r="18" spans="1:2" ht="11.25" customHeight="1">
      <c r="A18" s="2" t="s">
        <v>3470</v>
      </c>
      <c r="B18" s="2" t="s">
        <v>3471</v>
      </c>
    </row>
    <row r="19" spans="1:2" ht="11.25" customHeight="1">
      <c r="A19" s="2" t="s">
        <v>3472</v>
      </c>
      <c r="B19" s="2" t="s">
        <v>3473</v>
      </c>
    </row>
    <row r="20" spans="1:2" ht="11.25" customHeight="1">
      <c r="A20" s="2" t="s">
        <v>3474</v>
      </c>
      <c r="B20" s="2" t="s">
        <v>3475</v>
      </c>
    </row>
    <row r="21" spans="1:2" ht="11.25" customHeight="1">
      <c r="A21" s="2" t="s">
        <v>3476</v>
      </c>
      <c r="B21" s="2" t="s">
        <v>3477</v>
      </c>
    </row>
    <row r="22" spans="1:2" ht="11.25" customHeight="1">
      <c r="A22" s="2" t="s">
        <v>3478</v>
      </c>
      <c r="B22" s="2" t="s">
        <v>3479</v>
      </c>
    </row>
    <row r="23" spans="1:2" ht="11.25" customHeight="1">
      <c r="A23" s="2" t="s">
        <v>3480</v>
      </c>
      <c r="B23" s="2" t="s">
        <v>3481</v>
      </c>
    </row>
    <row r="24" spans="1:2" ht="11.25" customHeight="1">
      <c r="A24" s="2" t="s">
        <v>3482</v>
      </c>
      <c r="B24" s="2" t="s">
        <v>3483</v>
      </c>
    </row>
    <row r="25" spans="1:2" ht="11.25" customHeight="1">
      <c r="A25" s="2" t="s">
        <v>3484</v>
      </c>
      <c r="B25" s="2" t="s">
        <v>3485</v>
      </c>
    </row>
    <row r="26" spans="1:2" ht="11.25" customHeight="1">
      <c r="A26" s="2" t="s">
        <v>3486</v>
      </c>
      <c r="B26" s="2" t="s">
        <v>3487</v>
      </c>
    </row>
    <row r="27" spans="1:2" ht="11.25" customHeight="1">
      <c r="A27" s="2" t="s">
        <v>3488</v>
      </c>
      <c r="B27" s="2" t="s">
        <v>3489</v>
      </c>
    </row>
    <row r="28" spans="1:2" ht="11.25" customHeight="1">
      <c r="A28" s="2" t="s">
        <v>3490</v>
      </c>
      <c r="B28" s="2" t="s">
        <v>3491</v>
      </c>
    </row>
    <row r="29" spans="1:2" ht="11.25" customHeight="1">
      <c r="A29" s="2" t="s">
        <v>3492</v>
      </c>
      <c r="B29" s="2" t="s">
        <v>3493</v>
      </c>
    </row>
    <row r="30" spans="1:2" ht="11.25" customHeight="1">
      <c r="A30" s="2" t="s">
        <v>3494</v>
      </c>
      <c r="B30" s="2" t="s">
        <v>3495</v>
      </c>
    </row>
    <row r="31" spans="1:2" ht="11.25" customHeight="1">
      <c r="A31" s="2" t="s">
        <v>3496</v>
      </c>
      <c r="B31" s="2" t="s">
        <v>3497</v>
      </c>
    </row>
    <row r="32" spans="1:2" ht="11.25" customHeight="1">
      <c r="A32" s="2" t="s">
        <v>3498</v>
      </c>
      <c r="B32" s="2" t="s">
        <v>3499</v>
      </c>
    </row>
    <row r="33" spans="1:2" ht="11.25" customHeight="1">
      <c r="A33" s="2" t="s">
        <v>3500</v>
      </c>
      <c r="B33" s="2" t="s">
        <v>3501</v>
      </c>
    </row>
    <row r="34" spans="1:2" ht="11.25" customHeight="1">
      <c r="A34" s="2" t="s">
        <v>3502</v>
      </c>
      <c r="B34" s="2" t="s">
        <v>3503</v>
      </c>
    </row>
    <row r="35" spans="1:2" ht="11.25" customHeight="1">
      <c r="A35" s="2" t="s">
        <v>3504</v>
      </c>
      <c r="B35" s="2" t="s">
        <v>3505</v>
      </c>
    </row>
    <row r="36" spans="1:2" ht="11.25" customHeight="1">
      <c r="A36" s="2" t="s">
        <v>3506</v>
      </c>
      <c r="B36" s="2" t="s">
        <v>3507</v>
      </c>
    </row>
    <row r="37" spans="1:2" ht="11.25" customHeight="1">
      <c r="A37" s="2" t="s">
        <v>3508</v>
      </c>
      <c r="B37" s="2" t="s">
        <v>3509</v>
      </c>
    </row>
    <row r="38" spans="1:2" ht="11.25" customHeight="1">
      <c r="A38" s="2" t="s">
        <v>3510</v>
      </c>
      <c r="B38" s="2" t="s">
        <v>3511</v>
      </c>
    </row>
    <row r="39" spans="1:2" ht="11.25" customHeight="1">
      <c r="A39" s="2" t="s">
        <v>3512</v>
      </c>
      <c r="B39" s="2" t="s">
        <v>3513</v>
      </c>
    </row>
    <row r="40" spans="1:2" ht="11.25" customHeight="1">
      <c r="A40" s="2" t="s">
        <v>3514</v>
      </c>
      <c r="B40" s="2" t="s">
        <v>3515</v>
      </c>
    </row>
    <row r="41" spans="1:2" ht="11.25" customHeight="1">
      <c r="A41" s="2" t="s">
        <v>3516</v>
      </c>
      <c r="B41" s="2" t="s">
        <v>3517</v>
      </c>
    </row>
    <row r="42" spans="1:2" ht="11.25" customHeight="1">
      <c r="A42" s="2" t="s">
        <v>3518</v>
      </c>
      <c r="B42" s="2" t="s">
        <v>3519</v>
      </c>
    </row>
    <row r="43" spans="1:2" ht="11.25" customHeight="1">
      <c r="A43" s="2" t="s">
        <v>3520</v>
      </c>
      <c r="B43" s="2" t="s">
        <v>3521</v>
      </c>
    </row>
    <row r="44" spans="1:2" ht="11.25" customHeight="1">
      <c r="A44" s="2" t="s">
        <v>3522</v>
      </c>
      <c r="B44" s="2" t="s">
        <v>3523</v>
      </c>
    </row>
    <row r="45" spans="1:2" ht="11.25" customHeight="1">
      <c r="A45" s="2" t="s">
        <v>3524</v>
      </c>
      <c r="B45" s="2" t="s">
        <v>3525</v>
      </c>
    </row>
    <row r="46" spans="1:2" ht="11.25" customHeight="1">
      <c r="A46" s="2" t="s">
        <v>3526</v>
      </c>
      <c r="B46" s="2" t="s">
        <v>3527</v>
      </c>
    </row>
    <row r="47" spans="1:2" ht="11.25" customHeight="1">
      <c r="A47" s="2" t="s">
        <v>3528</v>
      </c>
      <c r="B47" s="2" t="s">
        <v>3529</v>
      </c>
    </row>
    <row r="48" spans="1:2" ht="11.25" customHeight="1">
      <c r="A48" s="2" t="s">
        <v>3530</v>
      </c>
      <c r="B48" s="2" t="s">
        <v>3531</v>
      </c>
    </row>
    <row r="49" spans="1:2" ht="11.25" customHeight="1">
      <c r="A49" s="2" t="s">
        <v>3532</v>
      </c>
      <c r="B49" s="2" t="s">
        <v>3533</v>
      </c>
    </row>
    <row r="50" spans="1:2" ht="11.25" customHeight="1">
      <c r="A50" s="2" t="s">
        <v>3534</v>
      </c>
      <c r="B50" s="2" t="s">
        <v>3535</v>
      </c>
    </row>
    <row r="51" spans="1:2" ht="11.25" customHeight="1">
      <c r="A51" s="2" t="s">
        <v>3536</v>
      </c>
      <c r="B51" s="2" t="s">
        <v>3537</v>
      </c>
    </row>
    <row r="52" spans="1:2" ht="11.25" customHeight="1">
      <c r="A52" s="2" t="s">
        <v>3538</v>
      </c>
      <c r="B52" s="2" t="s">
        <v>3539</v>
      </c>
    </row>
    <row r="53" spans="1:2" ht="11.25" customHeight="1">
      <c r="A53" s="2" t="s">
        <v>3540</v>
      </c>
      <c r="B53" s="2" t="s">
        <v>3541</v>
      </c>
    </row>
    <row r="54" spans="1:2" ht="11.25" customHeight="1">
      <c r="A54" s="2" t="s">
        <v>3542</v>
      </c>
      <c r="B54" s="2" t="s">
        <v>3543</v>
      </c>
    </row>
    <row r="55" spans="1:2" ht="11.25" customHeight="1">
      <c r="A55" s="2" t="s">
        <v>3544</v>
      </c>
      <c r="B55" s="2" t="s">
        <v>3545</v>
      </c>
    </row>
    <row r="56" spans="1:2" ht="11.25" customHeight="1">
      <c r="A56" s="2" t="s">
        <v>3546</v>
      </c>
      <c r="B56" s="2" t="s">
        <v>3547</v>
      </c>
    </row>
    <row r="57" spans="1:2" ht="11.25" customHeight="1">
      <c r="A57" s="2" t="s">
        <v>3548</v>
      </c>
      <c r="B57" s="2" t="s">
        <v>3549</v>
      </c>
    </row>
    <row r="58" spans="1:2" ht="11.25" customHeight="1">
      <c r="A58" s="2" t="s">
        <v>3550</v>
      </c>
      <c r="B58" s="2" t="s">
        <v>3551</v>
      </c>
    </row>
    <row r="59" spans="1:2" ht="11.25" customHeight="1">
      <c r="A59" s="2" t="s">
        <v>3552</v>
      </c>
      <c r="B59" s="2" t="s">
        <v>3553</v>
      </c>
    </row>
    <row r="60" spans="1:2" ht="11.25" customHeight="1">
      <c r="A60" s="2" t="s">
        <v>3554</v>
      </c>
      <c r="B60" s="2" t="s">
        <v>3555</v>
      </c>
    </row>
    <row r="61" spans="1:2" ht="11.25" customHeight="1">
      <c r="A61" s="2"/>
      <c r="B61" s="2" t="s">
        <v>3556</v>
      </c>
    </row>
    <row r="62" spans="1:2" ht="11.25" customHeight="1">
      <c r="A62" s="2"/>
      <c r="B62" s="2" t="s">
        <v>3557</v>
      </c>
    </row>
    <row r="63" spans="1:2" ht="11.25" customHeight="1">
      <c r="A63" s="2"/>
      <c r="B63" s="2" t="s">
        <v>3558</v>
      </c>
    </row>
    <row r="64" spans="1:2" ht="11.25" customHeight="1">
      <c r="A64" s="2"/>
      <c r="B64" s="2" t="s">
        <v>3559</v>
      </c>
    </row>
    <row r="65" spans="1:2" ht="11.25" customHeight="1">
      <c r="A65" s="2"/>
      <c r="B65" s="2" t="s">
        <v>3560</v>
      </c>
    </row>
    <row r="66" spans="1:2" ht="11.25" customHeight="1">
      <c r="A66" s="2"/>
      <c r="B66" s="2" t="s">
        <v>3561</v>
      </c>
    </row>
    <row r="67" spans="1:2" ht="11.25" customHeight="1">
      <c r="A67" s="2"/>
      <c r="B67" s="2" t="s">
        <v>3562</v>
      </c>
    </row>
    <row r="68" spans="1:2" ht="11.25" customHeight="1">
      <c r="A68" s="2"/>
      <c r="B68" s="2" t="s">
        <v>3563</v>
      </c>
    </row>
    <row r="69" spans="1:2" ht="11.25" customHeight="1">
      <c r="A69" s="2"/>
      <c r="B69" s="2" t="s">
        <v>3564</v>
      </c>
    </row>
    <row r="70" spans="1:2" ht="11.25" customHeight="1">
      <c r="A70" s="2"/>
      <c r="B70" s="2" t="s">
        <v>3565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customWidth="1"/>
    <col min="2" max="2" width="90.75" customWidth="1"/>
  </cols>
  <sheetData>
    <row r="1" spans="2:4" ht="11.25" customHeight="1">
      <c r="B1" s="26" t="s">
        <v>3566</v>
      </c>
    </row>
    <row r="2" spans="2:4" ht="90" customHeight="1">
      <c r="B2" s="27" t="s">
        <v>3567</v>
      </c>
    </row>
    <row r="3" spans="2:4" ht="67.5" customHeight="1">
      <c r="B3" s="27" t="s">
        <v>3568</v>
      </c>
    </row>
    <row r="4" spans="2:4" ht="33.75" customHeight="1">
      <c r="B4" s="27" t="s">
        <v>3569</v>
      </c>
    </row>
    <row r="5" spans="2:4" ht="11.25" customHeight="1">
      <c r="B5" s="27" t="s">
        <v>3570</v>
      </c>
    </row>
    <row r="6" spans="2:4" ht="22.5" customHeight="1">
      <c r="B6" s="27" t="s">
        <v>3571</v>
      </c>
    </row>
    <row r="7" spans="2:4" ht="22.5" customHeight="1">
      <c r="B7" s="27" t="s">
        <v>3572</v>
      </c>
    </row>
    <row r="8" spans="2:4" ht="22.5" customHeight="1">
      <c r="B8" s="27" t="s">
        <v>3573</v>
      </c>
    </row>
    <row r="9" spans="2:4" ht="22.5" customHeight="1">
      <c r="B9" s="27" t="s">
        <v>3574</v>
      </c>
    </row>
    <row r="10" spans="2:4" ht="56.25" customHeight="1">
      <c r="B10" s="27" t="s">
        <v>3575</v>
      </c>
    </row>
    <row r="11" spans="2:4" ht="12.75" customHeight="1">
      <c r="B11" s="72" t="s">
        <v>3576</v>
      </c>
    </row>
    <row r="12" spans="2:4" ht="11.25" customHeight="1">
      <c r="B12" s="26" t="s">
        <v>3577</v>
      </c>
    </row>
    <row r="13" spans="2:4" ht="22.5" customHeight="1">
      <c r="B13" s="27" t="s">
        <v>3578</v>
      </c>
    </row>
    <row r="14" spans="2:4" ht="67.5" customHeight="1">
      <c r="B14" s="27" t="s">
        <v>3579</v>
      </c>
    </row>
    <row r="15" spans="2:4" ht="22.5" customHeight="1">
      <c r="B15" s="27" t="s">
        <v>3580</v>
      </c>
    </row>
    <row r="16" spans="2:4" ht="11.25" customHeight="1">
      <c r="B16" s="26" t="s">
        <v>3581</v>
      </c>
      <c r="D16" s="32"/>
    </row>
    <row r="17" spans="2:2" ht="33.75" customHeight="1">
      <c r="B17" s="27" t="s">
        <v>3582</v>
      </c>
    </row>
    <row r="18" spans="2:2" ht="33.75" customHeight="1">
      <c r="B18" s="27" t="s">
        <v>3583</v>
      </c>
    </row>
    <row r="19" spans="2:2" ht="11.25" customHeight="1">
      <c r="B19" s="27" t="s">
        <v>3584</v>
      </c>
    </row>
    <row r="20" spans="2:2" ht="33.75" customHeight="1">
      <c r="B20" s="27" t="s">
        <v>3585</v>
      </c>
    </row>
    <row r="21" spans="2:2" ht="11.25" customHeight="1">
      <c r="B21" s="26" t="s">
        <v>3586</v>
      </c>
    </row>
    <row r="22" spans="2:2" ht="11.25" customHeight="1">
      <c r="B22" s="27" t="s">
        <v>3587</v>
      </c>
    </row>
    <row r="24" spans="2:2" ht="22.5" customHeight="1">
      <c r="B24" s="74" t="s">
        <v>3588</v>
      </c>
    </row>
    <row r="26" spans="2:2" ht="11.25" customHeight="1">
      <c r="B26" s="26" t="s">
        <v>3589</v>
      </c>
    </row>
    <row r="27" spans="2:2" ht="22.5" customHeight="1">
      <c r="B27" s="73" t="s">
        <v>400</v>
      </c>
    </row>
    <row r="28" spans="2:2" ht="56.25" customHeight="1">
      <c r="B28" s="73" t="s">
        <v>3590</v>
      </c>
    </row>
    <row r="29" spans="2:2" ht="11.25" customHeight="1">
      <c r="B29" s="115" t="s">
        <v>3591</v>
      </c>
    </row>
    <row r="30" spans="2:2" ht="22.5" customHeight="1">
      <c r="B30" s="73" t="s">
        <v>3592</v>
      </c>
    </row>
    <row r="32" spans="2:2" ht="11.25" customHeight="1">
      <c r="B32" s="98" t="s">
        <v>3593</v>
      </c>
    </row>
    <row r="33" spans="1:2" ht="14.25" customHeight="1">
      <c r="A33" s="99">
        <v>1</v>
      </c>
      <c r="B33" s="100" t="s">
        <v>3594</v>
      </c>
    </row>
    <row r="34" spans="1:2" ht="14.25" customHeight="1">
      <c r="A34" s="99">
        <v>2</v>
      </c>
      <c r="B34" s="100" t="s">
        <v>3595</v>
      </c>
    </row>
    <row r="35" spans="1:2" ht="11.25" customHeight="1">
      <c r="B35" s="98" t="s">
        <v>3596</v>
      </c>
    </row>
    <row r="36" spans="1:2" ht="11.25" customHeight="1">
      <c r="B36" s="100" t="s">
        <v>3597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8" hidden="1" customWidth="1"/>
    <col min="2" max="2" width="9.1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625" style="11" hidden="1"/>
  </cols>
  <sheetData>
    <row r="1" spans="1:22" ht="22.5" hidden="1" customHeight="1">
      <c r="E1" s="235"/>
      <c r="F1" s="235"/>
      <c r="G1" s="235"/>
      <c r="H1" s="1272" t="s">
        <v>356</v>
      </c>
      <c r="I1" s="1272"/>
      <c r="V1" s="11" t="s">
        <v>14</v>
      </c>
    </row>
    <row r="2" spans="1:22" s="11" customFormat="1" ht="14.25" hidden="1" customHeight="1">
      <c r="C2" s="23"/>
      <c r="D2" s="1276" t="s">
        <v>110</v>
      </c>
      <c r="E2" s="1278"/>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77"/>
      <c r="E3" s="1279"/>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75" t="s">
        <v>388</v>
      </c>
      <c r="E6" s="1275"/>
      <c r="F6" s="1275"/>
      <c r="G6" s="1275"/>
      <c r="H6" s="1275"/>
      <c r="I6" s="1275"/>
      <c r="J6" s="281"/>
      <c r="K6" s="156"/>
      <c r="V6" s="11">
        <v>28</v>
      </c>
    </row>
    <row r="7" spans="1:22" ht="18" customHeight="1">
      <c r="C7" s="23"/>
      <c r="D7" s="1247" t="str">
        <f>IF(org=0,"Не определено",org)</f>
        <v>АО "Юграавиа"</v>
      </c>
      <c r="E7" s="1247"/>
      <c r="F7" s="1247"/>
      <c r="G7" s="1247"/>
      <c r="H7" s="1247"/>
      <c r="I7" s="1247"/>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7" customHeight="1">
      <c r="C10" s="23"/>
      <c r="D10" s="1260" t="s">
        <v>304</v>
      </c>
      <c r="E10" s="1273"/>
      <c r="F10" s="1273"/>
      <c r="G10" s="1273"/>
      <c r="H10" s="1273"/>
      <c r="I10" s="1273"/>
      <c r="J10" s="1217" t="s">
        <v>305</v>
      </c>
      <c r="V10" s="11">
        <v>14</v>
      </c>
    </row>
    <row r="11" spans="1:22" ht="27.3" customHeight="1">
      <c r="C11" s="23"/>
      <c r="D11" s="1158" t="s">
        <v>89</v>
      </c>
      <c r="E11" s="1217" t="s">
        <v>106</v>
      </c>
      <c r="F11" s="1228" t="s">
        <v>89</v>
      </c>
      <c r="G11" s="1229"/>
      <c r="H11" s="1227" t="s">
        <v>389</v>
      </c>
      <c r="I11" s="1227" t="s">
        <v>390</v>
      </c>
      <c r="J11" s="1217"/>
      <c r="V11" s="11">
        <v>26</v>
      </c>
    </row>
    <row r="12" spans="1:22" ht="14.7" customHeight="1">
      <c r="C12" s="23"/>
      <c r="D12" s="1158"/>
      <c r="E12" s="1217"/>
      <c r="F12" s="1233"/>
      <c r="G12" s="1234"/>
      <c r="H12" s="1280"/>
      <c r="I12" s="1280"/>
      <c r="J12" s="1217"/>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7" customHeight="1">
      <c r="A14" s="11"/>
      <c r="C14" s="23"/>
      <c r="D14" s="1276" t="s">
        <v>110</v>
      </c>
      <c r="E14" s="1278"/>
      <c r="F14" s="890"/>
      <c r="G14" s="43" t="s">
        <v>110</v>
      </c>
      <c r="H14" s="217"/>
      <c r="I14" s="891"/>
      <c r="J14" s="1204" t="s">
        <v>391</v>
      </c>
      <c r="K14" s="11"/>
      <c r="R14" s="69" t="s">
        <v>385</v>
      </c>
      <c r="S14" s="69" t="s">
        <v>385</v>
      </c>
      <c r="V14" s="11">
        <v>14</v>
      </c>
    </row>
    <row r="15" spans="1:22" ht="14.7" customHeight="1">
      <c r="A15" s="11"/>
      <c r="C15" s="23"/>
      <c r="D15" s="1277"/>
      <c r="E15" s="1279"/>
      <c r="F15" s="155"/>
      <c r="G15" s="505"/>
      <c r="H15" s="505" t="s">
        <v>387</v>
      </c>
      <c r="I15" s="182"/>
      <c r="J15" s="1205"/>
      <c r="K15" s="11"/>
      <c r="R15" s="69"/>
      <c r="S15" s="69"/>
      <c r="V15" s="11">
        <v>14</v>
      </c>
    </row>
    <row r="16" spans="1:22" ht="14.7" customHeight="1">
      <c r="A16" s="11"/>
      <c r="C16" s="23"/>
      <c r="D16" s="155"/>
      <c r="E16" s="505" t="s">
        <v>122</v>
      </c>
      <c r="F16" s="182"/>
      <c r="G16" s="182"/>
      <c r="H16" s="232"/>
      <c r="I16" s="232"/>
      <c r="J16" s="1206"/>
      <c r="K16" s="11"/>
      <c r="V16" s="11">
        <v>14</v>
      </c>
    </row>
    <row r="17" spans="1:22" ht="14.7"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Яна Александровна Третьякова</cp:lastModifiedBy>
  <cp:lastPrinted>2013-08-29T08:11:20Z</cp:lastPrinted>
  <dcterms:created xsi:type="dcterms:W3CDTF">2004-05-21T07:18:45Z</dcterms:created>
  <dcterms:modified xsi:type="dcterms:W3CDTF">2025-12-30T11:50:12Z</dcterms:modified>
</cp:coreProperties>
</file>